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xr:revisionPtr revIDLastSave="0" documentId="13_ncr:1_{D7137F45-2EA5-4122-8267-EADF5DA7F20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Weekly Pay" sheetId="1" r:id="rId1"/>
    <sheet name="Bi-Weekly Pay" sheetId="2" r:id="rId2"/>
    <sheet name="PA Rates" sheetId="3" r:id="rId3"/>
  </sheets>
  <definedNames>
    <definedName name="_xlnm.Print_Area" localSheetId="1">'Bi-Weekly Pay'!$A$1:$V$38</definedName>
    <definedName name="_xlnm.Print_Area" localSheetId="2">'PA Rates'!$A$1:$G$21</definedName>
    <definedName name="_xlnm.Print_Area" localSheetId="0">'Weekly Pay'!$A$1:$V$64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V28" i="1" l="1"/>
  <c r="Q28" i="1"/>
  <c r="L28" i="1"/>
  <c r="B35" i="2" l="1"/>
  <c r="B34" i="2" s="1"/>
  <c r="B61" i="1"/>
  <c r="B60" i="1" s="1"/>
  <c r="S14" i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N14" i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I14" i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G13" i="2"/>
  <c r="G14" i="2"/>
  <c r="G15" i="2"/>
  <c r="G16" i="2"/>
  <c r="G17" i="2"/>
  <c r="G18" i="2"/>
  <c r="G19" i="2"/>
  <c r="L13" i="2"/>
  <c r="L14" i="2"/>
  <c r="L15" i="2"/>
  <c r="L16" i="2"/>
  <c r="L17" i="2"/>
  <c r="L18" i="2"/>
  <c r="L19" i="2"/>
  <c r="Q13" i="2"/>
  <c r="Q14" i="2"/>
  <c r="Q15" i="2"/>
  <c r="Q16" i="2"/>
  <c r="Q17" i="2"/>
  <c r="Q18" i="2"/>
  <c r="Q19" i="2"/>
  <c r="V13" i="2"/>
  <c r="V14" i="2"/>
  <c r="V15" i="2"/>
  <c r="V16" i="2"/>
  <c r="V17" i="2"/>
  <c r="V18" i="2"/>
  <c r="V19" i="2"/>
  <c r="T19" i="2"/>
  <c r="V11" i="2" s="1"/>
  <c r="T25" i="1"/>
  <c r="V11" i="1" s="1"/>
  <c r="T24" i="1" l="1"/>
  <c r="V21" i="2"/>
  <c r="V22" i="2" s="1"/>
  <c r="Q21" i="2"/>
  <c r="Q22" i="2" s="1"/>
  <c r="L21" i="2"/>
  <c r="L22" i="2" s="1"/>
  <c r="G21" i="2"/>
  <c r="G22" i="2" s="1"/>
  <c r="T18" i="2"/>
  <c r="T17" i="2"/>
  <c r="B33" i="2"/>
  <c r="L27" i="1"/>
  <c r="G27" i="1"/>
  <c r="Q27" i="1"/>
  <c r="V27" i="1"/>
  <c r="B59" i="1"/>
  <c r="T23" i="1"/>
  <c r="G24" i="2" l="1"/>
  <c r="G25" i="2" s="1"/>
  <c r="G26" i="2" s="1"/>
  <c r="J75" i="2" s="1"/>
  <c r="L75" i="2" s="1"/>
  <c r="G30" i="1"/>
  <c r="G31" i="1" s="1"/>
  <c r="G32" i="1" s="1"/>
  <c r="J33" i="2"/>
  <c r="L33" i="2" s="1"/>
  <c r="J36" i="2"/>
  <c r="L36" i="2" s="1"/>
  <c r="B32" i="2"/>
  <c r="T16" i="2"/>
  <c r="B58" i="1"/>
  <c r="T22" i="1"/>
  <c r="J25" i="2" l="1"/>
  <c r="L25" i="2" s="1"/>
  <c r="J39" i="2"/>
  <c r="L39" i="2" s="1"/>
  <c r="J24" i="2"/>
  <c r="L24" i="2" s="1"/>
  <c r="J31" i="2"/>
  <c r="L31" i="2" s="1"/>
  <c r="J38" i="2"/>
  <c r="L38" i="2" s="1"/>
  <c r="J37" i="2"/>
  <c r="L37" i="2" s="1"/>
  <c r="J28" i="2"/>
  <c r="L28" i="2" s="1"/>
  <c r="J27" i="2"/>
  <c r="L27" i="2" s="1"/>
  <c r="J35" i="2"/>
  <c r="L35" i="2" s="1"/>
  <c r="J30" i="2"/>
  <c r="L30" i="2" s="1"/>
  <c r="J42" i="2"/>
  <c r="L42" i="2" s="1"/>
  <c r="J43" i="2"/>
  <c r="L43" i="2" s="1"/>
  <c r="J60" i="2"/>
  <c r="L60" i="2" s="1"/>
  <c r="J26" i="2"/>
  <c r="L26" i="2" s="1"/>
  <c r="J34" i="2"/>
  <c r="L34" i="2" s="1"/>
  <c r="J40" i="2"/>
  <c r="L40" i="2" s="1"/>
  <c r="J29" i="2"/>
  <c r="L29" i="2" s="1"/>
  <c r="J32" i="2"/>
  <c r="L32" i="2" s="1"/>
  <c r="J46" i="2"/>
  <c r="L46" i="2" s="1"/>
  <c r="J53" i="2"/>
  <c r="L53" i="2" s="1"/>
  <c r="J70" i="2"/>
  <c r="L70" i="2" s="1"/>
  <c r="J41" i="2"/>
  <c r="L41" i="2" s="1"/>
  <c r="J44" i="2"/>
  <c r="L44" i="2" s="1"/>
  <c r="J45" i="2"/>
  <c r="L45" i="2" s="1"/>
  <c r="J49" i="2"/>
  <c r="L49" i="2" s="1"/>
  <c r="J58" i="2"/>
  <c r="L58" i="2" s="1"/>
  <c r="J67" i="2"/>
  <c r="L67" i="2" s="1"/>
  <c r="J72" i="2"/>
  <c r="L72" i="2" s="1"/>
  <c r="J47" i="2"/>
  <c r="L47" i="2" s="1"/>
  <c r="J50" i="2"/>
  <c r="L50" i="2" s="1"/>
  <c r="J55" i="2"/>
  <c r="L55" i="2" s="1"/>
  <c r="J57" i="2"/>
  <c r="L57" i="2" s="1"/>
  <c r="J61" i="2"/>
  <c r="L61" i="2" s="1"/>
  <c r="J66" i="2"/>
  <c r="L66" i="2" s="1"/>
  <c r="J71" i="2"/>
  <c r="L71" i="2" s="1"/>
  <c r="J73" i="2"/>
  <c r="L73" i="2" s="1"/>
  <c r="J48" i="2"/>
  <c r="L48" i="2" s="1"/>
  <c r="J54" i="2"/>
  <c r="L54" i="2" s="1"/>
  <c r="J52" i="2"/>
  <c r="L52" i="2" s="1"/>
  <c r="J51" i="2"/>
  <c r="L51" i="2" s="1"/>
  <c r="J56" i="2"/>
  <c r="L56" i="2" s="1"/>
  <c r="J59" i="2"/>
  <c r="L59" i="2" s="1"/>
  <c r="J62" i="2"/>
  <c r="L62" i="2" s="1"/>
  <c r="J63" i="2"/>
  <c r="L63" i="2" s="1"/>
  <c r="J65" i="2"/>
  <c r="L65" i="2" s="1"/>
  <c r="J64" i="2"/>
  <c r="L64" i="2" s="1"/>
  <c r="J69" i="2"/>
  <c r="L69" i="2" s="1"/>
  <c r="J68" i="2"/>
  <c r="L68" i="2" s="1"/>
  <c r="J74" i="2"/>
  <c r="L74" i="2" s="1"/>
  <c r="J81" i="1"/>
  <c r="L81" i="1" s="1"/>
  <c r="J79" i="1"/>
  <c r="L79" i="1" s="1"/>
  <c r="J80" i="1"/>
  <c r="L80" i="1" s="1"/>
  <c r="J78" i="1"/>
  <c r="L78" i="1" s="1"/>
  <c r="J59" i="1"/>
  <c r="J77" i="1"/>
  <c r="L77" i="1" s="1"/>
  <c r="J74" i="1"/>
  <c r="L74" i="1" s="1"/>
  <c r="J76" i="1"/>
  <c r="L76" i="1" s="1"/>
  <c r="J75" i="1"/>
  <c r="L75" i="1" s="1"/>
  <c r="J66" i="1"/>
  <c r="L66" i="1" s="1"/>
  <c r="J72" i="1"/>
  <c r="L72" i="1" s="1"/>
  <c r="J71" i="1"/>
  <c r="L71" i="1" s="1"/>
  <c r="J70" i="1"/>
  <c r="L70" i="1" s="1"/>
  <c r="J73" i="1"/>
  <c r="L73" i="1" s="1"/>
  <c r="J68" i="1"/>
  <c r="L68" i="1" s="1"/>
  <c r="J69" i="1"/>
  <c r="L69" i="1" s="1"/>
  <c r="J67" i="1"/>
  <c r="L67" i="1" s="1"/>
  <c r="J31" i="1"/>
  <c r="L31" i="1" s="1"/>
  <c r="J38" i="1"/>
  <c r="L38" i="1" s="1"/>
  <c r="T15" i="2"/>
  <c r="B31" i="2"/>
  <c r="B57" i="1"/>
  <c r="T21" i="1"/>
  <c r="G27" i="2" l="1"/>
  <c r="J30" i="1"/>
  <c r="L30" i="1" s="1"/>
  <c r="J44" i="1"/>
  <c r="L44" i="1" s="1"/>
  <c r="J65" i="1"/>
  <c r="L65" i="1" s="1"/>
  <c r="J64" i="1"/>
  <c r="L64" i="1" s="1"/>
  <c r="J63" i="1"/>
  <c r="L63" i="1" s="1"/>
  <c r="J62" i="1"/>
  <c r="L62" i="1" s="1"/>
  <c r="J42" i="1"/>
  <c r="L42" i="1" s="1"/>
  <c r="J47" i="1"/>
  <c r="L47" i="1" s="1"/>
  <c r="J46" i="1"/>
  <c r="L46" i="1" s="1"/>
  <c r="J40" i="1"/>
  <c r="L40" i="1" s="1"/>
  <c r="J58" i="1"/>
  <c r="L58" i="1" s="1"/>
  <c r="J61" i="1"/>
  <c r="L61" i="1" s="1"/>
  <c r="J60" i="1"/>
  <c r="L60" i="1" s="1"/>
  <c r="J48" i="1"/>
  <c r="L48" i="1" s="1"/>
  <c r="J37" i="1"/>
  <c r="L37" i="1" s="1"/>
  <c r="J41" i="1"/>
  <c r="L41" i="1" s="1"/>
  <c r="J57" i="1"/>
  <c r="L57" i="1" s="1"/>
  <c r="L59" i="1"/>
  <c r="J56" i="1"/>
  <c r="L56" i="1" s="1"/>
  <c r="J54" i="1"/>
  <c r="L54" i="1" s="1"/>
  <c r="J55" i="1"/>
  <c r="L55" i="1" s="1"/>
  <c r="J50" i="1"/>
  <c r="L50" i="1" s="1"/>
  <c r="J53" i="1"/>
  <c r="L53" i="1" s="1"/>
  <c r="J39" i="1"/>
  <c r="L39" i="1" s="1"/>
  <c r="J45" i="1"/>
  <c r="L45" i="1" s="1"/>
  <c r="J51" i="1"/>
  <c r="L51" i="1" s="1"/>
  <c r="J34" i="1"/>
  <c r="L34" i="1" s="1"/>
  <c r="J33" i="1"/>
  <c r="L33" i="1" s="1"/>
  <c r="J49" i="1"/>
  <c r="L49" i="1" s="1"/>
  <c r="J52" i="1"/>
  <c r="L52" i="1" s="1"/>
  <c r="J43" i="1"/>
  <c r="L43" i="1" s="1"/>
  <c r="J32" i="1"/>
  <c r="L32" i="1" s="1"/>
  <c r="J35" i="1"/>
  <c r="L35" i="1" s="1"/>
  <c r="J36" i="1"/>
  <c r="L36" i="1" s="1"/>
  <c r="B30" i="2"/>
  <c r="T14" i="2"/>
  <c r="T20" i="1"/>
  <c r="B56" i="1"/>
  <c r="G33" i="1" l="1"/>
  <c r="T13" i="2"/>
  <c r="B29" i="2"/>
  <c r="O19" i="2"/>
  <c r="Q11" i="2" s="1"/>
  <c r="T11" i="2" s="1"/>
  <c r="B55" i="1"/>
  <c r="T19" i="1"/>
  <c r="B28" i="2" l="1"/>
  <c r="O18" i="2"/>
  <c r="B54" i="1"/>
  <c r="T18" i="1"/>
  <c r="B27" i="2" l="1"/>
  <c r="O17" i="2"/>
  <c r="B53" i="1"/>
  <c r="T17" i="1"/>
  <c r="B26" i="2" l="1"/>
  <c r="O16" i="2"/>
  <c r="B52" i="1"/>
  <c r="T16" i="1"/>
  <c r="B25" i="2" l="1"/>
  <c r="O15" i="2"/>
  <c r="B51" i="1"/>
  <c r="T15" i="1"/>
  <c r="B24" i="2" l="1"/>
  <c r="O14" i="2"/>
  <c r="B50" i="1"/>
  <c r="T14" i="1"/>
  <c r="O13" i="2" l="1"/>
  <c r="B23" i="2"/>
  <c r="B49" i="1"/>
  <c r="T13" i="1"/>
  <c r="T11" i="1" s="1"/>
  <c r="B22" i="2" l="1"/>
  <c r="J19" i="2"/>
  <c r="B48" i="1"/>
  <c r="O25" i="1"/>
  <c r="Q11" i="1" s="1"/>
  <c r="L11" i="2" l="1"/>
  <c r="O11" i="2"/>
  <c r="J18" i="2"/>
  <c r="B21" i="2"/>
  <c r="B47" i="1"/>
  <c r="O24" i="1"/>
  <c r="B20" i="2" l="1"/>
  <c r="J17" i="2"/>
  <c r="B46" i="1"/>
  <c r="O23" i="1"/>
  <c r="B19" i="2" l="1"/>
  <c r="J16" i="2"/>
  <c r="B45" i="1"/>
  <c r="O22" i="1"/>
  <c r="B18" i="2" l="1"/>
  <c r="J15" i="2"/>
  <c r="B44" i="1"/>
  <c r="O21" i="1"/>
  <c r="J14" i="2" l="1"/>
  <c r="B17" i="2"/>
  <c r="B43" i="1"/>
  <c r="O20" i="1"/>
  <c r="B16" i="2" l="1"/>
  <c r="E19" i="2"/>
  <c r="G11" i="2" s="1"/>
  <c r="J11" i="2" s="1"/>
  <c r="J13" i="2"/>
  <c r="B42" i="1"/>
  <c r="O19" i="1"/>
  <c r="E18" i="2" l="1"/>
  <c r="B15" i="2"/>
  <c r="B41" i="1"/>
  <c r="O18" i="1"/>
  <c r="B14" i="2" l="1"/>
  <c r="E17" i="2"/>
  <c r="B40" i="1"/>
  <c r="O17" i="1"/>
  <c r="E16" i="2" l="1"/>
  <c r="B13" i="2"/>
  <c r="B12" i="2" s="1"/>
  <c r="B39" i="1"/>
  <c r="O16" i="1"/>
  <c r="E15" i="2" l="1"/>
  <c r="B38" i="1"/>
  <c r="O15" i="1"/>
  <c r="E14" i="2" l="1"/>
  <c r="B11" i="2"/>
  <c r="E13" i="2" s="1"/>
  <c r="E11" i="2" s="1"/>
  <c r="B37" i="1"/>
  <c r="O14" i="1"/>
  <c r="B36" i="1" l="1"/>
  <c r="O13" i="1"/>
  <c r="O11" i="1" s="1"/>
  <c r="B35" i="1" l="1"/>
  <c r="J25" i="1"/>
  <c r="L11" i="1" s="1"/>
  <c r="B34" i="1" l="1"/>
  <c r="J24" i="1"/>
  <c r="B33" i="1" l="1"/>
  <c r="J23" i="1"/>
  <c r="B32" i="1" l="1"/>
  <c r="J22" i="1"/>
  <c r="B31" i="1" l="1"/>
  <c r="J21" i="1"/>
  <c r="B30" i="1" l="1"/>
  <c r="J20" i="1"/>
  <c r="B29" i="1" l="1"/>
  <c r="J19" i="1"/>
  <c r="B28" i="1" l="1"/>
  <c r="J18" i="1"/>
  <c r="B27" i="1" l="1"/>
  <c r="J17" i="1"/>
  <c r="B26" i="1" l="1"/>
  <c r="J16" i="1"/>
  <c r="B25" i="1" l="1"/>
  <c r="J15" i="1"/>
  <c r="B24" i="1" l="1"/>
  <c r="J14" i="1"/>
  <c r="B23" i="1" l="1"/>
  <c r="J13" i="1"/>
  <c r="J11" i="1" s="1"/>
  <c r="B22" i="1" l="1"/>
  <c r="E25" i="1"/>
  <c r="G11" i="1" s="1"/>
  <c r="B21" i="1" l="1"/>
  <c r="E24" i="1"/>
  <c r="B20" i="1" l="1"/>
  <c r="E23" i="1"/>
  <c r="B19" i="1" l="1"/>
  <c r="E22" i="1"/>
  <c r="B18" i="1" l="1"/>
  <c r="E21" i="1"/>
  <c r="B17" i="1" l="1"/>
  <c r="E20" i="1"/>
  <c r="B16" i="1" l="1"/>
  <c r="E19" i="1"/>
  <c r="B15" i="1" l="1"/>
  <c r="E18" i="1"/>
  <c r="B14" i="1" l="1"/>
  <c r="E17" i="1"/>
  <c r="B13" i="1" l="1"/>
  <c r="E16" i="1"/>
  <c r="B12" i="1" l="1"/>
  <c r="E15" i="1"/>
  <c r="B11" i="1" l="1"/>
  <c r="E13" i="1" s="1"/>
  <c r="E11" i="1" s="1"/>
  <c r="E14" i="1"/>
</calcChain>
</file>

<file path=xl/sharedStrings.xml><?xml version="1.0" encoding="utf-8"?>
<sst xmlns="http://schemas.openxmlformats.org/spreadsheetml/2006/main" count="180" uniqueCount="112">
  <si>
    <t>Date</t>
  </si>
  <si>
    <t>Wages</t>
  </si>
  <si>
    <t>Period 1</t>
  </si>
  <si>
    <t>Period 2</t>
  </si>
  <si>
    <t>Period 3</t>
  </si>
  <si>
    <t>Period 4</t>
  </si>
  <si>
    <t>Period Weekly Wage</t>
  </si>
  <si>
    <t xml:space="preserve">Total </t>
  </si>
  <si>
    <t>Sum of 3 Highest Periods</t>
  </si>
  <si>
    <t>AWW</t>
  </si>
  <si>
    <t>Lowest Period</t>
  </si>
  <si>
    <t>PA Wage Calculation Based on Weekly Pay</t>
  </si>
  <si>
    <t>PA Wage Calculation Based on Bi-Weekly Pay</t>
  </si>
  <si>
    <t>Bonus</t>
  </si>
  <si>
    <t>Maximum</t>
  </si>
  <si>
    <t>$643.51-$1,286.00</t>
  </si>
  <si>
    <t>$633.76-$1,267.50</t>
  </si>
  <si>
    <t>$627.01-$1,254.00</t>
  </si>
  <si>
    <t>$605.26- $1,210.50</t>
  </si>
  <si>
    <t>$584.26- $1,168.50</t>
  </si>
  <si>
    <t>$558.73-$1,117.44</t>
  </si>
  <si>
    <t>$476.66 or less</t>
  </si>
  <si>
    <t>$469.43 or less</t>
  </si>
  <si>
    <t>$464.43 or less</t>
  </si>
  <si>
    <t>$448.32 or less</t>
  </si>
  <si>
    <t>$432.77 or less</t>
  </si>
  <si>
    <t>$413.89 or less</t>
  </si>
  <si>
    <t>$537.01-$1,074.00</t>
  </si>
  <si>
    <t>$517.24-$1,034.48</t>
  </si>
  <si>
    <t>$506.23-$1,012.45</t>
  </si>
  <si>
    <t>$397.77 or less</t>
  </si>
  <si>
    <t>$383.32 or less</t>
  </si>
  <si>
    <t>$374.99 or less</t>
  </si>
  <si>
    <r>
      <t xml:space="preserve">$476.67-$643.50
</t>
    </r>
    <r>
      <rPr>
        <b/>
        <sz val="10"/>
        <rFont val="Arial"/>
        <family val="2"/>
      </rPr>
      <t>$429.00</t>
    </r>
  </si>
  <si>
    <r>
      <t xml:space="preserve">$469.44-$633.75
</t>
    </r>
    <r>
      <rPr>
        <b/>
        <sz val="10"/>
        <rFont val="Arial"/>
        <family val="2"/>
      </rPr>
      <t>$422.50</t>
    </r>
  </si>
  <si>
    <r>
      <t xml:space="preserve">$464.44- $627.00
</t>
    </r>
    <r>
      <rPr>
        <b/>
        <sz val="10"/>
        <rFont val="Arial"/>
        <family val="2"/>
      </rPr>
      <t>$418.00</t>
    </r>
  </si>
  <si>
    <r>
      <t xml:space="preserve">$448.33- $605.25
</t>
    </r>
    <r>
      <rPr>
        <b/>
        <sz val="10"/>
        <rFont val="Arial"/>
        <family val="2"/>
      </rPr>
      <t>$403.50</t>
    </r>
  </si>
  <si>
    <r>
      <t xml:space="preserve">$432.78-$584.25
</t>
    </r>
    <r>
      <rPr>
        <b/>
        <sz val="10"/>
        <rFont val="Arial"/>
        <family val="2"/>
      </rPr>
      <t>$389.50</t>
    </r>
  </si>
  <si>
    <r>
      <t xml:space="preserve">$413.90- $558.72
</t>
    </r>
    <r>
      <rPr>
        <b/>
        <sz val="10"/>
        <rFont val="Arial"/>
        <family val="2"/>
      </rPr>
      <t>$372.50</t>
    </r>
  </si>
  <si>
    <r>
      <t xml:space="preserve">$397.78-$537.00
</t>
    </r>
    <r>
      <rPr>
        <b/>
        <sz val="10"/>
        <rFont val="Arial"/>
        <family val="2"/>
      </rPr>
      <t>$358.00</t>
    </r>
  </si>
  <si>
    <r>
      <t xml:space="preserve">$383.33-$517.23
</t>
    </r>
    <r>
      <rPr>
        <b/>
        <sz val="10"/>
        <rFont val="Arial"/>
        <family val="2"/>
      </rPr>
      <t>$345.00</t>
    </r>
  </si>
  <si>
    <r>
      <t xml:space="preserve">$375.00-$506.22
</t>
    </r>
    <r>
      <rPr>
        <b/>
        <sz val="10"/>
        <rFont val="Arial"/>
        <family val="2"/>
      </rPr>
      <t>$337.50</t>
    </r>
  </si>
  <si>
    <t>Week</t>
  </si>
  <si>
    <t>1 &amp; 2</t>
  </si>
  <si>
    <t>Weeks</t>
  </si>
  <si>
    <t>3 &amp; 4</t>
  </si>
  <si>
    <t>5 &amp; 6</t>
  </si>
  <si>
    <t>7 &amp; 8</t>
  </si>
  <si>
    <t>9 &amp; 10</t>
  </si>
  <si>
    <t>11 &amp; 12</t>
  </si>
  <si>
    <t>13 &amp; 14</t>
  </si>
  <si>
    <t>15 &amp; 16</t>
  </si>
  <si>
    <t>17 &amp; 18</t>
  </si>
  <si>
    <t>19 &amp; 20</t>
  </si>
  <si>
    <t>21 &amp; 22</t>
  </si>
  <si>
    <t>23 &amp; 24</t>
  </si>
  <si>
    <t>25 &amp; 26</t>
  </si>
  <si>
    <t>27 &amp; 28</t>
  </si>
  <si>
    <t>29 &amp; 30</t>
  </si>
  <si>
    <t>31 &amp; 32</t>
  </si>
  <si>
    <t>33 &amp; 34</t>
  </si>
  <si>
    <t>35 &amp; 36</t>
  </si>
  <si>
    <t>37 &amp; 38</t>
  </si>
  <si>
    <t>39 &amp; 40</t>
  </si>
  <si>
    <t>41 &amp; 42</t>
  </si>
  <si>
    <t>43 &amp; 44</t>
  </si>
  <si>
    <t>45 &amp; 46</t>
  </si>
  <si>
    <t>47 &amp; 48</t>
  </si>
  <si>
    <t>49 &amp; 50</t>
  </si>
  <si>
    <t>51 &amp; 52</t>
  </si>
  <si>
    <t>Comp. Rate</t>
  </si>
  <si>
    <t>Year of Injury</t>
  </si>
  <si>
    <t xml:space="preserve">Year of Injury: </t>
  </si>
  <si>
    <t>Instructions:</t>
  </si>
  <si>
    <t>PA Compensation Rates Table</t>
  </si>
  <si>
    <t>(4) Period information will automaticall fill in.  Average weekly wage will automatically calculate based on 3 highest periods and bonus (if, applicable)</t>
  </si>
  <si>
    <t>(2) Enter corresponding earnings into column C</t>
  </si>
  <si>
    <t>**Note, this calculator only works for AWW and comp. rate calculations if there are three or more periods of wages**</t>
  </si>
  <si>
    <t>$666.01-$1,332.00</t>
  </si>
  <si>
    <r>
      <t xml:space="preserve">$493.33-$666.00
</t>
    </r>
    <r>
      <rPr>
        <b/>
        <sz val="10"/>
        <rFont val="Arial"/>
        <family val="2"/>
      </rPr>
      <t>$444.00</t>
    </r>
  </si>
  <si>
    <t>$493.32 or less</t>
  </si>
  <si>
    <t>$687.76-$1,375.50</t>
  </si>
  <si>
    <r>
      <t xml:space="preserve">$509.44-$687.75
</t>
    </r>
    <r>
      <rPr>
        <b/>
        <sz val="10"/>
        <rFont val="Arial"/>
        <family val="2"/>
      </rPr>
      <t>$458.50</t>
    </r>
  </si>
  <si>
    <t>$509.43 or less</t>
  </si>
  <si>
    <t>to</t>
  </si>
  <si>
    <t>$699.01-$1,398.00</t>
  </si>
  <si>
    <r>
      <t xml:space="preserve">$517.78-$699.00
</t>
    </r>
    <r>
      <rPr>
        <b/>
        <sz val="10"/>
        <rFont val="Arial"/>
        <family val="2"/>
      </rPr>
      <t>$466.00</t>
    </r>
  </si>
  <si>
    <t>$517.77 or less</t>
  </si>
  <si>
    <t>$713.26-$1,426.50</t>
  </si>
  <si>
    <r>
      <t xml:space="preserve">$528.33-$713.2
</t>
    </r>
    <r>
      <rPr>
        <b/>
        <sz val="10"/>
        <rFont val="Arial"/>
        <family val="2"/>
      </rPr>
      <t>$475.50</t>
    </r>
  </si>
  <si>
    <t>$528.32 or less</t>
  </si>
  <si>
    <t xml:space="preserve">for other years of injury.  </t>
  </si>
  <si>
    <t xml:space="preserve">(1) Enter most recent pay date prior to date of injury in B62.  Other 51 dates will auto-fill.  </t>
  </si>
  <si>
    <t xml:space="preserve">(1) Enter most recent pay date prior to date of injury in B36.  Other 25 dates will auto-fill.  </t>
  </si>
  <si>
    <t xml:space="preserve">(3) Fill in bonus information in cell C38, if applicable. </t>
  </si>
  <si>
    <t xml:space="preserve">(5) If year of injury 2008 or sooner and is entered in cell C9, comp. rate will automatically calculate.  Refer to PA Rates Table to determine comp. rate </t>
  </si>
  <si>
    <t xml:space="preserve">(3) Fill in bonus information in cell C64, if applicable. </t>
  </si>
  <si>
    <t>$543.32 or less</t>
  </si>
  <si>
    <r>
      <t xml:space="preserve">$543.33-$733.50
</t>
    </r>
    <r>
      <rPr>
        <b/>
        <sz val="10"/>
        <rFont val="Arial"/>
        <family val="2"/>
      </rPr>
      <t>$489.00</t>
    </r>
  </si>
  <si>
    <t>$733.51-$1,467.00</t>
  </si>
  <si>
    <t>$746.26-$1,492.50</t>
  </si>
  <si>
    <r>
      <t xml:space="preserve">$552.78-$746.25
</t>
    </r>
    <r>
      <rPr>
        <b/>
        <sz val="10"/>
        <rFont val="Arial"/>
        <family val="2"/>
      </rPr>
      <t>$497.50</t>
    </r>
  </si>
  <si>
    <t>$552.77 or less</t>
  </si>
  <si>
    <t>$768.76-$1,537.50</t>
  </si>
  <si>
    <r>
      <t xml:space="preserve">$569.44-$768.75
</t>
    </r>
    <r>
      <rPr>
        <b/>
        <sz val="10"/>
        <rFont val="Arial"/>
        <family val="2"/>
      </rPr>
      <t>$512.50</t>
    </r>
  </si>
  <si>
    <t>$569.43 or less</t>
  </si>
  <si>
    <t>$786.76-$1,573.50</t>
  </si>
  <si>
    <r>
      <t xml:space="preserve">$582.78-$786.75
</t>
    </r>
    <r>
      <rPr>
        <b/>
        <sz val="10"/>
        <rFont val="Arial"/>
        <family val="2"/>
      </rPr>
      <t>$524.50</t>
    </r>
  </si>
  <si>
    <t>$582.77 or less</t>
  </si>
  <si>
    <t>$810.76-$1,621.50</t>
  </si>
  <si>
    <r>
      <t xml:space="preserve">$600.56-$810.75
</t>
    </r>
    <r>
      <rPr>
        <b/>
        <sz val="10"/>
        <rFont val="Arial"/>
        <family val="2"/>
      </rPr>
      <t>$540.50</t>
    </r>
  </si>
  <si>
    <t>$600.55 or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</si>
</sst>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m/d/yy;@"/>
    <numFmt numFmtId="165" formatCode="&quot;$&quot;#,##0.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91">
    <xf numFmtId="0" fontId="0" fillId="0" borderId="0" xfId="0"/>
    <xf numFmtId="0" fontId="0" fillId="0" borderId="0" xfId="0" applyBorder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/>
    <xf numFmtId="165" fontId="0" fillId="0" borderId="0" xfId="0" applyNumberFormat="1" applyFill="1"/>
    <xf numFmtId="0" fontId="0" fillId="0" borderId="0" xfId="0" applyFill="1" applyAlignment="1">
      <alignment horizontal="right"/>
    </xf>
    <xf numFmtId="165" fontId="0" fillId="0" borderId="0" xfId="0" applyNumberFormat="1" applyFill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16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right"/>
    </xf>
    <xf numFmtId="16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right"/>
    </xf>
    <xf numFmtId="164" fontId="0" fillId="0" borderId="3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Protection="1"/>
    <xf numFmtId="0" fontId="2" fillId="0" borderId="0" xfId="0" applyFont="1" applyFill="1" applyProtection="1"/>
    <xf numFmtId="165" fontId="0" fillId="0" borderId="0" xfId="0" applyNumberFormat="1" applyFill="1" applyBorder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164" fontId="2" fillId="0" borderId="0" xfId="0" applyNumberFormat="1" applyFont="1" applyFill="1" applyProtection="1">
      <protection locked="0"/>
    </xf>
    <xf numFmtId="0" fontId="2" fillId="0" borderId="2" xfId="0" applyFont="1" applyFill="1" applyBorder="1" applyProtection="1">
      <protection locked="0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0" fontId="2" fillId="0" borderId="0" xfId="0" applyFont="1" applyFill="1" applyAlignment="1" applyProtection="1">
      <alignment horizontal="right"/>
    </xf>
    <xf numFmtId="165" fontId="2" fillId="0" borderId="0" xfId="0" applyNumberFormat="1" applyFont="1" applyFill="1" applyProtection="1">
      <protection locked="0"/>
    </xf>
    <xf numFmtId="0" fontId="2" fillId="4" borderId="1" xfId="0" applyFont="1" applyFill="1" applyBorder="1" applyProtection="1">
      <protection locked="0"/>
    </xf>
    <xf numFmtId="0" fontId="6" fillId="3" borderId="1" xfId="1" applyBorder="1" applyProtection="1">
      <protection locked="0"/>
    </xf>
    <xf numFmtId="165" fontId="2" fillId="4" borderId="1" xfId="0" applyNumberFormat="1" applyFont="1" applyFill="1" applyBorder="1" applyProtection="1">
      <protection locked="0"/>
    </xf>
    <xf numFmtId="164" fontId="2" fillId="4" borderId="1" xfId="0" applyNumberFormat="1" applyFont="1" applyFill="1" applyBorder="1" applyProtection="1">
      <protection locked="0"/>
    </xf>
    <xf numFmtId="164" fontId="2" fillId="0" borderId="1" xfId="0" applyNumberFormat="1" applyFont="1" applyFill="1" applyBorder="1" applyProtection="1"/>
    <xf numFmtId="165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64" fontId="0" fillId="0" borderId="1" xfId="0" applyNumberFormat="1" applyFill="1" applyBorder="1" applyProtection="1"/>
    <xf numFmtId="164" fontId="0" fillId="4" borderId="1" xfId="0" applyNumberFormat="1" applyFill="1" applyBorder="1" applyProtection="1">
      <protection locked="0"/>
    </xf>
    <xf numFmtId="0" fontId="0" fillId="0" borderId="0" xfId="0" applyProtection="1"/>
    <xf numFmtId="164" fontId="0" fillId="0" borderId="0" xfId="0" applyNumberFormat="1" applyFill="1" applyAlignment="1" applyProtection="1"/>
    <xf numFmtId="0" fontId="0" fillId="0" borderId="0" xfId="0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0" fillId="0" borderId="0" xfId="0" applyNumberFormat="1" applyAlignment="1" applyProtection="1">
      <alignment horizontal="center"/>
    </xf>
    <xf numFmtId="0" fontId="2" fillId="0" borderId="0" xfId="0" applyFont="1" applyFill="1" applyAlignment="1" applyProtection="1"/>
    <xf numFmtId="164" fontId="0" fillId="0" borderId="4" xfId="0" applyNumberFormat="1" applyFill="1" applyBorder="1" applyProtection="1"/>
    <xf numFmtId="164" fontId="2" fillId="0" borderId="0" xfId="0" applyNumberFormat="1" applyFont="1" applyFill="1" applyAlignment="1" applyProtection="1"/>
    <xf numFmtId="0" fontId="2" fillId="0" borderId="0" xfId="0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right"/>
    </xf>
    <xf numFmtId="164" fontId="2" fillId="0" borderId="3" xfId="0" applyNumberFormat="1" applyFont="1" applyFill="1" applyBorder="1" applyProtection="1"/>
    <xf numFmtId="164" fontId="2" fillId="0" borderId="4" xfId="0" applyNumberFormat="1" applyFont="1" applyFill="1" applyBorder="1" applyProtection="1"/>
    <xf numFmtId="0" fontId="7" fillId="0" borderId="0" xfId="0" applyFont="1" applyFill="1" applyProtection="1"/>
    <xf numFmtId="165" fontId="7" fillId="0" borderId="0" xfId="0" applyNumberFormat="1" applyFont="1" applyFill="1" applyProtection="1"/>
    <xf numFmtId="0" fontId="2" fillId="0" borderId="0" xfId="0" applyFont="1" applyAlignment="1" applyProtection="1"/>
    <xf numFmtId="0" fontId="8" fillId="0" borderId="0" xfId="0" applyFont="1" applyFill="1"/>
    <xf numFmtId="0" fontId="8" fillId="0" borderId="0" xfId="0" applyFont="1"/>
    <xf numFmtId="14" fontId="7" fillId="0" borderId="0" xfId="0" applyNumberFormat="1" applyFont="1" applyFill="1" applyProtection="1"/>
    <xf numFmtId="2" fontId="7" fillId="0" borderId="0" xfId="0" applyNumberFormat="1" applyFont="1" applyFill="1" applyProtection="1"/>
    <xf numFmtId="164" fontId="5" fillId="0" borderId="0" xfId="0" applyNumberFormat="1" applyFont="1" applyFill="1" applyAlignment="1" applyProtection="1">
      <alignment horizontal="center"/>
    </xf>
    <xf numFmtId="0" fontId="2" fillId="0" borderId="0" xfId="0" applyFont="1" applyAlignment="1" applyProtection="1"/>
    <xf numFmtId="0" fontId="0" fillId="0" borderId="0" xfId="0" applyProtection="1"/>
    <xf numFmtId="0" fontId="5" fillId="0" borderId="0" xfId="0" applyFont="1" applyBorder="1"/>
    <xf numFmtId="0" fontId="2" fillId="0" borderId="0" xfId="0" applyFont="1" applyBorder="1"/>
    <xf numFmtId="6" fontId="2" fillId="0" borderId="1" xfId="0" applyNumberFormat="1" applyFont="1" applyBorder="1" applyAlignment="1">
      <alignment horizontal="center"/>
    </xf>
    <xf numFmtId="0" fontId="7" fillId="0" borderId="0" xfId="0" applyFont="1" applyFill="1" applyProtection="1">
      <protection locked="0"/>
    </xf>
    <xf numFmtId="0" fontId="7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right"/>
    </xf>
    <xf numFmtId="0" fontId="9" fillId="0" borderId="0" xfId="0" applyFont="1"/>
    <xf numFmtId="0" fontId="9" fillId="0" borderId="0" xfId="0" applyFont="1" applyFill="1" applyProtection="1">
      <protection locked="0"/>
    </xf>
    <xf numFmtId="164" fontId="8" fillId="0" borderId="0" xfId="0" applyNumberFormat="1" applyFont="1" applyFill="1" applyProtection="1"/>
    <xf numFmtId="0" fontId="8" fillId="0" borderId="0" xfId="0" applyFont="1" applyFill="1" applyProtection="1">
      <protection locked="0"/>
    </xf>
    <xf numFmtId="0" fontId="10" fillId="0" borderId="0" xfId="0" applyFont="1" applyFill="1" applyProtection="1">
      <protection hidden="1"/>
    </xf>
    <xf numFmtId="164" fontId="10" fillId="0" borderId="0" xfId="0" applyNumberFormat="1" applyFont="1" applyFill="1" applyProtection="1">
      <protection hidden="1"/>
    </xf>
    <xf numFmtId="2" fontId="10" fillId="0" borderId="0" xfId="0" applyNumberFormat="1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0" fontId="7" fillId="0" borderId="0" xfId="0" applyFont="1" applyFill="1"/>
    <xf numFmtId="164" fontId="7" fillId="0" borderId="0" xfId="0" applyNumberFormat="1" applyFont="1" applyFill="1" applyProtection="1"/>
    <xf numFmtId="0" fontId="7" fillId="0" borderId="0" xfId="0" applyFont="1"/>
    <xf numFmtId="0" fontId="10" fillId="0" borderId="0" xfId="0" applyFont="1" applyFill="1"/>
    <xf numFmtId="0" fontId="10" fillId="0" borderId="0" xfId="0" applyFont="1"/>
    <xf numFmtId="164" fontId="5" fillId="0" borderId="0" xfId="0" applyNumberFormat="1" applyFont="1" applyFill="1" applyAlignment="1" applyProtection="1">
      <alignment horizontal="center"/>
    </xf>
    <xf numFmtId="0" fontId="2" fillId="0" borderId="0" xfId="0" applyFont="1" applyAlignment="1" applyProtection="1"/>
    <xf numFmtId="0" fontId="0" fillId="0" borderId="0" xfId="0" applyProtection="1"/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35975</xdr:rowOff>
    </xdr:from>
    <xdr:to>
      <xdr:col>2</xdr:col>
      <xdr:colOff>628650</xdr:colOff>
      <xdr:row>5</xdr:row>
      <xdr:rowOff>104774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64575"/>
          <a:ext cx="1628775" cy="783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123825</xdr:rowOff>
    </xdr:from>
    <xdr:to>
      <xdr:col>2</xdr:col>
      <xdr:colOff>533400</xdr:colOff>
      <xdr:row>6</xdr:row>
      <xdr:rowOff>97374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52425"/>
          <a:ext cx="1628775" cy="783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63"/>
  <sheetViews>
    <sheetView workbookViewId="0">
      <selection activeCell="J31" sqref="J31"/>
    </sheetView>
  </sheetViews>
  <sheetFormatPr defaultRowHeight="12.75" x14ac:dyDescent="0.2"/>
  <cols>
    <col min="1" max="1" width="5.42578125" style="30" customWidth="1"/>
    <col min="2" max="2" width="10.7109375" style="31" customWidth="1"/>
    <col min="3" max="3" width="10.140625" style="25" bestFit="1" customWidth="1"/>
    <col min="4" max="4" width="11.28515625" style="25" customWidth="1"/>
    <col min="5" max="5" width="10.7109375" style="25" customWidth="1"/>
    <col min="6" max="6" width="2.28515625" style="25" customWidth="1"/>
    <col min="7" max="7" width="10.7109375" style="25" customWidth="1"/>
    <col min="8" max="8" width="5.7109375" style="25" customWidth="1"/>
    <col min="9" max="9" width="3.7109375" style="25" customWidth="1"/>
    <col min="10" max="10" width="10.7109375" style="25" customWidth="1"/>
    <col min="11" max="11" width="2.28515625" style="25" customWidth="1"/>
    <col min="12" max="12" width="10.7109375" style="25" customWidth="1"/>
    <col min="13" max="13" width="5.7109375" style="25" customWidth="1"/>
    <col min="14" max="14" width="3.7109375" style="25" customWidth="1"/>
    <col min="15" max="15" width="10.7109375" style="25" customWidth="1"/>
    <col min="16" max="16" width="2.28515625" style="25" customWidth="1"/>
    <col min="17" max="17" width="10.7109375" style="25" customWidth="1"/>
    <col min="18" max="18" width="5.7109375" style="25" customWidth="1"/>
    <col min="19" max="19" width="3.7109375" style="25" customWidth="1"/>
    <col min="20" max="20" width="10.7109375" style="25" customWidth="1"/>
    <col min="21" max="21" width="2.28515625" style="25" customWidth="1"/>
    <col min="22" max="22" width="10.7109375" style="25" customWidth="1"/>
    <col min="23" max="16384" width="9.140625" style="25"/>
  </cols>
  <sheetData>
    <row r="1" spans="1:23" ht="18" x14ac:dyDescent="0.25">
      <c r="A1" s="88" t="s">
        <v>11</v>
      </c>
      <c r="B1" s="89"/>
      <c r="C1" s="89"/>
      <c r="D1" s="89"/>
      <c r="E1" s="89"/>
      <c r="F1" s="89"/>
      <c r="G1" s="89"/>
      <c r="H1" s="89"/>
      <c r="I1" s="89"/>
    </row>
    <row r="2" spans="1:23" ht="18" x14ac:dyDescent="0.25">
      <c r="A2" s="66"/>
      <c r="B2" s="67"/>
      <c r="C2" s="67"/>
      <c r="D2" s="35" t="s">
        <v>73</v>
      </c>
      <c r="E2" s="50" t="s">
        <v>92</v>
      </c>
      <c r="F2" s="67"/>
      <c r="G2" s="67"/>
      <c r="H2" s="67"/>
      <c r="I2" s="67"/>
    </row>
    <row r="3" spans="1:23" s="29" customFormat="1" x14ac:dyDescent="0.2">
      <c r="A3" s="54"/>
      <c r="D3" s="52"/>
      <c r="E3" s="52" t="s">
        <v>76</v>
      </c>
      <c r="F3" s="61"/>
      <c r="G3" s="50"/>
      <c r="H3" s="50"/>
      <c r="I3" s="50"/>
      <c r="J3" s="50"/>
      <c r="K3" s="61"/>
      <c r="L3" s="50"/>
      <c r="M3" s="50"/>
      <c r="N3" s="50"/>
      <c r="O3" s="50"/>
      <c r="P3" s="61"/>
      <c r="Q3" s="50"/>
      <c r="R3" s="50"/>
      <c r="S3" s="50"/>
      <c r="T3" s="50"/>
      <c r="U3" s="61"/>
      <c r="V3" s="50"/>
      <c r="W3" s="52"/>
    </row>
    <row r="4" spans="1:23" s="29" customFormat="1" x14ac:dyDescent="0.2">
      <c r="A4" s="55"/>
      <c r="D4" s="27"/>
      <c r="E4" s="50" t="s">
        <v>96</v>
      </c>
      <c r="F4" s="61"/>
      <c r="G4" s="50"/>
      <c r="H4" s="50"/>
      <c r="I4" s="50"/>
      <c r="J4" s="50"/>
      <c r="K4" s="61"/>
      <c r="L4" s="50"/>
      <c r="M4" s="50"/>
      <c r="N4" s="50"/>
      <c r="O4" s="50"/>
      <c r="P4" s="61"/>
      <c r="Q4" s="50"/>
      <c r="R4" s="50"/>
      <c r="S4" s="50"/>
      <c r="T4" s="50"/>
      <c r="U4" s="61"/>
      <c r="V4" s="50"/>
      <c r="W4" s="52"/>
    </row>
    <row r="5" spans="1:23" x14ac:dyDescent="0.2">
      <c r="A5" s="55"/>
      <c r="D5" s="27"/>
      <c r="E5" s="27" t="s">
        <v>75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x14ac:dyDescent="0.2">
      <c r="A6" s="55"/>
      <c r="D6" s="27"/>
      <c r="E6" s="27" t="s">
        <v>95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x14ac:dyDescent="0.2">
      <c r="A7" s="55"/>
      <c r="D7" s="27"/>
      <c r="E7" s="25" t="s">
        <v>91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1:23" x14ac:dyDescent="0.2">
      <c r="A8" s="55"/>
      <c r="E8" s="27" t="s">
        <v>77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3" ht="15" x14ac:dyDescent="0.25">
      <c r="A9" s="55"/>
      <c r="B9" s="56" t="s">
        <v>71</v>
      </c>
      <c r="C9" s="38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23" x14ac:dyDescent="0.2">
      <c r="A10" s="55" t="s">
        <v>42</v>
      </c>
      <c r="B10" s="57" t="s">
        <v>0</v>
      </c>
      <c r="C10" s="32" t="s">
        <v>1</v>
      </c>
      <c r="D10" s="27"/>
      <c r="E10" s="27" t="s">
        <v>2</v>
      </c>
      <c r="F10" s="27"/>
      <c r="G10" s="27"/>
      <c r="H10" s="27"/>
      <c r="I10" s="27"/>
      <c r="J10" s="27" t="s">
        <v>3</v>
      </c>
      <c r="K10" s="27"/>
      <c r="L10" s="27"/>
      <c r="M10" s="27"/>
      <c r="N10" s="27"/>
      <c r="O10" s="27" t="s">
        <v>4</v>
      </c>
      <c r="P10" s="27"/>
      <c r="Q10" s="27"/>
      <c r="R10" s="27"/>
      <c r="S10" s="27"/>
      <c r="T10" s="27" t="s">
        <v>5</v>
      </c>
      <c r="U10" s="27"/>
      <c r="V10" s="27"/>
      <c r="W10" s="27"/>
    </row>
    <row r="11" spans="1:23" x14ac:dyDescent="0.2">
      <c r="A11" s="55">
        <v>1</v>
      </c>
      <c r="B11" s="41">
        <f t="shared" ref="B11:B60" si="0">B12-7</f>
        <v>-357</v>
      </c>
      <c r="C11" s="39"/>
      <c r="D11" s="27"/>
      <c r="E11" s="33">
        <f>E13-6</f>
        <v>-363</v>
      </c>
      <c r="F11" s="27" t="s">
        <v>84</v>
      </c>
      <c r="G11" s="33">
        <f>E25</f>
        <v>-273</v>
      </c>
      <c r="H11" s="27"/>
      <c r="I11" s="27"/>
      <c r="J11" s="33">
        <f>J13-6</f>
        <v>-272</v>
      </c>
      <c r="K11" s="27" t="s">
        <v>84</v>
      </c>
      <c r="L11" s="33">
        <f>J25</f>
        <v>-182</v>
      </c>
      <c r="M11" s="27"/>
      <c r="N11" s="27"/>
      <c r="O11" s="33">
        <f>O13-6</f>
        <v>-181</v>
      </c>
      <c r="P11" s="27" t="s">
        <v>84</v>
      </c>
      <c r="Q11" s="33">
        <f>O25</f>
        <v>-91</v>
      </c>
      <c r="R11" s="27"/>
      <c r="S11" s="27"/>
      <c r="T11" s="33">
        <f>T13-6</f>
        <v>-90</v>
      </c>
      <c r="U11" s="27" t="s">
        <v>84</v>
      </c>
      <c r="V11" s="33">
        <f>T25</f>
        <v>0</v>
      </c>
      <c r="W11" s="27"/>
    </row>
    <row r="12" spans="1:23" x14ac:dyDescent="0.2">
      <c r="A12" s="55">
        <v>2</v>
      </c>
      <c r="B12" s="41">
        <f t="shared" si="0"/>
        <v>-350</v>
      </c>
      <c r="C12" s="39"/>
      <c r="E12" s="27" t="s">
        <v>0</v>
      </c>
      <c r="F12" s="27"/>
      <c r="G12" s="27" t="s">
        <v>1</v>
      </c>
      <c r="H12" s="27"/>
      <c r="I12" s="27"/>
      <c r="J12" s="27" t="s">
        <v>0</v>
      </c>
      <c r="K12" s="27"/>
      <c r="L12" s="27" t="s">
        <v>1</v>
      </c>
      <c r="M12" s="27"/>
      <c r="N12" s="27"/>
      <c r="O12" s="27" t="s">
        <v>0</v>
      </c>
      <c r="P12" s="27"/>
      <c r="Q12" s="27" t="s">
        <v>1</v>
      </c>
      <c r="R12" s="27"/>
      <c r="S12" s="27"/>
      <c r="T12" s="27" t="s">
        <v>0</v>
      </c>
      <c r="U12" s="27"/>
      <c r="V12" s="27" t="s">
        <v>1</v>
      </c>
      <c r="W12" s="27"/>
    </row>
    <row r="13" spans="1:23" x14ac:dyDescent="0.2">
      <c r="A13" s="55">
        <v>3</v>
      </c>
      <c r="B13" s="41">
        <f t="shared" si="0"/>
        <v>-343</v>
      </c>
      <c r="C13" s="39"/>
      <c r="D13" s="27">
        <v>1</v>
      </c>
      <c r="E13" s="33">
        <f t="shared" ref="E13:E25" si="1">B11</f>
        <v>-357</v>
      </c>
      <c r="F13" s="33"/>
      <c r="G13" s="34">
        <f t="shared" ref="G13:G25" si="2">C11</f>
        <v>0</v>
      </c>
      <c r="H13" s="34"/>
      <c r="I13" s="27">
        <v>14</v>
      </c>
      <c r="J13" s="33">
        <f t="shared" ref="J13:J25" si="3">B24</f>
        <v>-266</v>
      </c>
      <c r="K13" s="33"/>
      <c r="L13" s="34">
        <f t="shared" ref="L13:L25" si="4">C24</f>
        <v>0</v>
      </c>
      <c r="M13" s="34"/>
      <c r="N13" s="27">
        <v>27</v>
      </c>
      <c r="O13" s="33">
        <f t="shared" ref="O13:O25" si="5">B37</f>
        <v>-175</v>
      </c>
      <c r="P13" s="33"/>
      <c r="Q13" s="34">
        <f t="shared" ref="Q13:Q25" si="6">C37</f>
        <v>0</v>
      </c>
      <c r="R13" s="34"/>
      <c r="S13" s="27">
        <v>40</v>
      </c>
      <c r="T13" s="33">
        <f t="shared" ref="T13:T25" si="7">B50</f>
        <v>-84</v>
      </c>
      <c r="U13" s="33"/>
      <c r="V13" s="34">
        <f t="shared" ref="V13:V25" si="8">C50</f>
        <v>0</v>
      </c>
      <c r="W13" s="27"/>
    </row>
    <row r="14" spans="1:23" x14ac:dyDescent="0.2">
      <c r="A14" s="55">
        <v>4</v>
      </c>
      <c r="B14" s="41">
        <f t="shared" si="0"/>
        <v>-336</v>
      </c>
      <c r="C14" s="39"/>
      <c r="D14" s="27">
        <v>2</v>
      </c>
      <c r="E14" s="33">
        <f t="shared" si="1"/>
        <v>-350</v>
      </c>
      <c r="F14" s="33"/>
      <c r="G14" s="34">
        <f t="shared" si="2"/>
        <v>0</v>
      </c>
      <c r="H14" s="34"/>
      <c r="I14" s="27">
        <f>I13+1</f>
        <v>15</v>
      </c>
      <c r="J14" s="33">
        <f t="shared" si="3"/>
        <v>-259</v>
      </c>
      <c r="K14" s="33"/>
      <c r="L14" s="34">
        <f t="shared" si="4"/>
        <v>0</v>
      </c>
      <c r="M14" s="34"/>
      <c r="N14" s="27">
        <f>N13+1</f>
        <v>28</v>
      </c>
      <c r="O14" s="33">
        <f t="shared" si="5"/>
        <v>-168</v>
      </c>
      <c r="P14" s="33"/>
      <c r="Q14" s="34">
        <f t="shared" si="6"/>
        <v>0</v>
      </c>
      <c r="R14" s="34"/>
      <c r="S14" s="27">
        <f>S13+1</f>
        <v>41</v>
      </c>
      <c r="T14" s="33">
        <f t="shared" si="7"/>
        <v>-77</v>
      </c>
      <c r="U14" s="33"/>
      <c r="V14" s="34">
        <f t="shared" si="8"/>
        <v>0</v>
      </c>
      <c r="W14" s="27"/>
    </row>
    <row r="15" spans="1:23" x14ac:dyDescent="0.2">
      <c r="A15" s="55">
        <v>5</v>
      </c>
      <c r="B15" s="41">
        <f t="shared" si="0"/>
        <v>-329</v>
      </c>
      <c r="C15" s="39"/>
      <c r="D15" s="27">
        <v>3</v>
      </c>
      <c r="E15" s="33">
        <f t="shared" si="1"/>
        <v>-343</v>
      </c>
      <c r="F15" s="33"/>
      <c r="G15" s="34">
        <f t="shared" si="2"/>
        <v>0</v>
      </c>
      <c r="H15" s="34"/>
      <c r="I15" s="27">
        <f t="shared" ref="I15:I25" si="9">I14+1</f>
        <v>16</v>
      </c>
      <c r="J15" s="33">
        <f t="shared" si="3"/>
        <v>-252</v>
      </c>
      <c r="K15" s="33"/>
      <c r="L15" s="34">
        <f t="shared" si="4"/>
        <v>0</v>
      </c>
      <c r="M15" s="34"/>
      <c r="N15" s="27">
        <f t="shared" ref="N15:N25" si="10">N14+1</f>
        <v>29</v>
      </c>
      <c r="O15" s="33">
        <f t="shared" si="5"/>
        <v>-161</v>
      </c>
      <c r="P15" s="33"/>
      <c r="Q15" s="34">
        <f t="shared" si="6"/>
        <v>0</v>
      </c>
      <c r="R15" s="34"/>
      <c r="S15" s="27">
        <f t="shared" ref="S15:S25" si="11">S14+1</f>
        <v>42</v>
      </c>
      <c r="T15" s="33">
        <f t="shared" si="7"/>
        <v>-70</v>
      </c>
      <c r="U15" s="33"/>
      <c r="V15" s="34">
        <f t="shared" si="8"/>
        <v>0</v>
      </c>
      <c r="W15" s="27"/>
    </row>
    <row r="16" spans="1:23" x14ac:dyDescent="0.2">
      <c r="A16" s="55">
        <v>6</v>
      </c>
      <c r="B16" s="41">
        <f t="shared" si="0"/>
        <v>-322</v>
      </c>
      <c r="C16" s="39"/>
      <c r="D16" s="27">
        <v>4</v>
      </c>
      <c r="E16" s="33">
        <f t="shared" si="1"/>
        <v>-336</v>
      </c>
      <c r="F16" s="33"/>
      <c r="G16" s="34">
        <f t="shared" si="2"/>
        <v>0</v>
      </c>
      <c r="H16" s="34"/>
      <c r="I16" s="27">
        <f t="shared" si="9"/>
        <v>17</v>
      </c>
      <c r="J16" s="33">
        <f t="shared" si="3"/>
        <v>-245</v>
      </c>
      <c r="K16" s="33"/>
      <c r="L16" s="34">
        <f t="shared" si="4"/>
        <v>0</v>
      </c>
      <c r="M16" s="34"/>
      <c r="N16" s="27">
        <f t="shared" si="10"/>
        <v>30</v>
      </c>
      <c r="O16" s="33">
        <f t="shared" si="5"/>
        <v>-154</v>
      </c>
      <c r="P16" s="33"/>
      <c r="Q16" s="34">
        <f t="shared" si="6"/>
        <v>0</v>
      </c>
      <c r="R16" s="34"/>
      <c r="S16" s="27">
        <f t="shared" si="11"/>
        <v>43</v>
      </c>
      <c r="T16" s="33">
        <f t="shared" si="7"/>
        <v>-63</v>
      </c>
      <c r="U16" s="33"/>
      <c r="V16" s="34">
        <f t="shared" si="8"/>
        <v>0</v>
      </c>
      <c r="W16" s="27"/>
    </row>
    <row r="17" spans="1:24" x14ac:dyDescent="0.2">
      <c r="A17" s="55">
        <v>7</v>
      </c>
      <c r="B17" s="41">
        <f t="shared" si="0"/>
        <v>-315</v>
      </c>
      <c r="C17" s="39"/>
      <c r="D17" s="27">
        <v>5</v>
      </c>
      <c r="E17" s="33">
        <f t="shared" si="1"/>
        <v>-329</v>
      </c>
      <c r="F17" s="33"/>
      <c r="G17" s="34">
        <f t="shared" si="2"/>
        <v>0</v>
      </c>
      <c r="H17" s="34"/>
      <c r="I17" s="27">
        <f t="shared" si="9"/>
        <v>18</v>
      </c>
      <c r="J17" s="33">
        <f t="shared" si="3"/>
        <v>-238</v>
      </c>
      <c r="K17" s="33"/>
      <c r="L17" s="34">
        <f t="shared" si="4"/>
        <v>0</v>
      </c>
      <c r="M17" s="34"/>
      <c r="N17" s="27">
        <f t="shared" si="10"/>
        <v>31</v>
      </c>
      <c r="O17" s="33">
        <f t="shared" si="5"/>
        <v>-147</v>
      </c>
      <c r="P17" s="33"/>
      <c r="Q17" s="34">
        <f t="shared" si="6"/>
        <v>0</v>
      </c>
      <c r="R17" s="34"/>
      <c r="S17" s="27">
        <f t="shared" si="11"/>
        <v>44</v>
      </c>
      <c r="T17" s="33">
        <f t="shared" si="7"/>
        <v>-56</v>
      </c>
      <c r="U17" s="33"/>
      <c r="V17" s="34">
        <f t="shared" si="8"/>
        <v>0</v>
      </c>
      <c r="W17" s="27"/>
    </row>
    <row r="18" spans="1:24" x14ac:dyDescent="0.2">
      <c r="A18" s="55">
        <v>8</v>
      </c>
      <c r="B18" s="41">
        <f t="shared" si="0"/>
        <v>-308</v>
      </c>
      <c r="C18" s="39"/>
      <c r="D18" s="27">
        <v>6</v>
      </c>
      <c r="E18" s="33">
        <f t="shared" si="1"/>
        <v>-322</v>
      </c>
      <c r="F18" s="33"/>
      <c r="G18" s="34">
        <f t="shared" si="2"/>
        <v>0</v>
      </c>
      <c r="H18" s="34"/>
      <c r="I18" s="27">
        <f t="shared" si="9"/>
        <v>19</v>
      </c>
      <c r="J18" s="33">
        <f t="shared" si="3"/>
        <v>-231</v>
      </c>
      <c r="K18" s="33"/>
      <c r="L18" s="34">
        <f t="shared" si="4"/>
        <v>0</v>
      </c>
      <c r="M18" s="34"/>
      <c r="N18" s="27">
        <f t="shared" si="10"/>
        <v>32</v>
      </c>
      <c r="O18" s="33">
        <f t="shared" si="5"/>
        <v>-140</v>
      </c>
      <c r="P18" s="33"/>
      <c r="Q18" s="34">
        <f t="shared" si="6"/>
        <v>0</v>
      </c>
      <c r="R18" s="34"/>
      <c r="S18" s="27">
        <f t="shared" si="11"/>
        <v>45</v>
      </c>
      <c r="T18" s="33">
        <f t="shared" si="7"/>
        <v>-49</v>
      </c>
      <c r="U18" s="33"/>
      <c r="V18" s="34">
        <f t="shared" si="8"/>
        <v>0</v>
      </c>
      <c r="W18" s="27"/>
    </row>
    <row r="19" spans="1:24" x14ac:dyDescent="0.2">
      <c r="A19" s="55">
        <v>9</v>
      </c>
      <c r="B19" s="41">
        <f t="shared" si="0"/>
        <v>-301</v>
      </c>
      <c r="C19" s="39"/>
      <c r="D19" s="27">
        <v>7</v>
      </c>
      <c r="E19" s="33">
        <f t="shared" si="1"/>
        <v>-315</v>
      </c>
      <c r="F19" s="33"/>
      <c r="G19" s="34">
        <f t="shared" si="2"/>
        <v>0</v>
      </c>
      <c r="H19" s="34"/>
      <c r="I19" s="27">
        <f t="shared" si="9"/>
        <v>20</v>
      </c>
      <c r="J19" s="33">
        <f t="shared" si="3"/>
        <v>-224</v>
      </c>
      <c r="K19" s="33"/>
      <c r="L19" s="34">
        <f t="shared" si="4"/>
        <v>0</v>
      </c>
      <c r="M19" s="34"/>
      <c r="N19" s="27">
        <f t="shared" si="10"/>
        <v>33</v>
      </c>
      <c r="O19" s="33">
        <f t="shared" si="5"/>
        <v>-133</v>
      </c>
      <c r="P19" s="33"/>
      <c r="Q19" s="34">
        <f t="shared" si="6"/>
        <v>0</v>
      </c>
      <c r="R19" s="34"/>
      <c r="S19" s="27">
        <f t="shared" si="11"/>
        <v>46</v>
      </c>
      <c r="T19" s="33">
        <f t="shared" si="7"/>
        <v>-42</v>
      </c>
      <c r="U19" s="33"/>
      <c r="V19" s="34">
        <f t="shared" si="8"/>
        <v>0</v>
      </c>
      <c r="W19" s="27"/>
    </row>
    <row r="20" spans="1:24" x14ac:dyDescent="0.2">
      <c r="A20" s="55">
        <v>10</v>
      </c>
      <c r="B20" s="41">
        <f t="shared" si="0"/>
        <v>-294</v>
      </c>
      <c r="C20" s="39"/>
      <c r="D20" s="27">
        <v>8</v>
      </c>
      <c r="E20" s="33">
        <f t="shared" si="1"/>
        <v>-308</v>
      </c>
      <c r="F20" s="33"/>
      <c r="G20" s="34">
        <f t="shared" si="2"/>
        <v>0</v>
      </c>
      <c r="H20" s="34"/>
      <c r="I20" s="27">
        <f t="shared" si="9"/>
        <v>21</v>
      </c>
      <c r="J20" s="33">
        <f t="shared" si="3"/>
        <v>-217</v>
      </c>
      <c r="K20" s="33"/>
      <c r="L20" s="34">
        <f t="shared" si="4"/>
        <v>0</v>
      </c>
      <c r="M20" s="34"/>
      <c r="N20" s="27">
        <f t="shared" si="10"/>
        <v>34</v>
      </c>
      <c r="O20" s="33">
        <f t="shared" si="5"/>
        <v>-126</v>
      </c>
      <c r="P20" s="33"/>
      <c r="Q20" s="34">
        <f t="shared" si="6"/>
        <v>0</v>
      </c>
      <c r="R20" s="34"/>
      <c r="S20" s="27">
        <f t="shared" si="11"/>
        <v>47</v>
      </c>
      <c r="T20" s="33">
        <f t="shared" si="7"/>
        <v>-35</v>
      </c>
      <c r="U20" s="33"/>
      <c r="V20" s="34">
        <f t="shared" si="8"/>
        <v>0</v>
      </c>
      <c r="W20" s="27"/>
    </row>
    <row r="21" spans="1:24" x14ac:dyDescent="0.2">
      <c r="A21" s="55">
        <v>11</v>
      </c>
      <c r="B21" s="41">
        <f t="shared" si="0"/>
        <v>-287</v>
      </c>
      <c r="C21" s="39"/>
      <c r="D21" s="27">
        <v>9</v>
      </c>
      <c r="E21" s="33">
        <f t="shared" si="1"/>
        <v>-301</v>
      </c>
      <c r="F21" s="33"/>
      <c r="G21" s="34">
        <f t="shared" si="2"/>
        <v>0</v>
      </c>
      <c r="H21" s="34"/>
      <c r="I21" s="27">
        <f t="shared" si="9"/>
        <v>22</v>
      </c>
      <c r="J21" s="33">
        <f t="shared" si="3"/>
        <v>-210</v>
      </c>
      <c r="K21" s="33"/>
      <c r="L21" s="34">
        <f t="shared" si="4"/>
        <v>0</v>
      </c>
      <c r="M21" s="34"/>
      <c r="N21" s="27">
        <f t="shared" si="10"/>
        <v>35</v>
      </c>
      <c r="O21" s="33">
        <f t="shared" si="5"/>
        <v>-119</v>
      </c>
      <c r="P21" s="33"/>
      <c r="Q21" s="34">
        <f t="shared" si="6"/>
        <v>0</v>
      </c>
      <c r="R21" s="34"/>
      <c r="S21" s="27">
        <f t="shared" si="11"/>
        <v>48</v>
      </c>
      <c r="T21" s="33">
        <f t="shared" si="7"/>
        <v>-28</v>
      </c>
      <c r="U21" s="33"/>
      <c r="V21" s="34">
        <f t="shared" si="8"/>
        <v>0</v>
      </c>
      <c r="W21" s="27"/>
    </row>
    <row r="22" spans="1:24" x14ac:dyDescent="0.2">
      <c r="A22" s="55">
        <v>12</v>
      </c>
      <c r="B22" s="41">
        <f t="shared" si="0"/>
        <v>-280</v>
      </c>
      <c r="C22" s="39"/>
      <c r="D22" s="27">
        <v>10</v>
      </c>
      <c r="E22" s="33">
        <f t="shared" si="1"/>
        <v>-294</v>
      </c>
      <c r="F22" s="33"/>
      <c r="G22" s="34">
        <f t="shared" si="2"/>
        <v>0</v>
      </c>
      <c r="H22" s="34"/>
      <c r="I22" s="27">
        <f t="shared" si="9"/>
        <v>23</v>
      </c>
      <c r="J22" s="33">
        <f t="shared" si="3"/>
        <v>-203</v>
      </c>
      <c r="K22" s="33"/>
      <c r="L22" s="34">
        <f t="shared" si="4"/>
        <v>0</v>
      </c>
      <c r="M22" s="34"/>
      <c r="N22" s="27">
        <f t="shared" si="10"/>
        <v>36</v>
      </c>
      <c r="O22" s="33">
        <f t="shared" si="5"/>
        <v>-112</v>
      </c>
      <c r="P22" s="33"/>
      <c r="Q22" s="34">
        <f t="shared" si="6"/>
        <v>0</v>
      </c>
      <c r="R22" s="34"/>
      <c r="S22" s="27">
        <f t="shared" si="11"/>
        <v>49</v>
      </c>
      <c r="T22" s="33">
        <f t="shared" si="7"/>
        <v>-21</v>
      </c>
      <c r="U22" s="33"/>
      <c r="V22" s="34">
        <f t="shared" si="8"/>
        <v>0</v>
      </c>
      <c r="W22" s="27"/>
    </row>
    <row r="23" spans="1:24" x14ac:dyDescent="0.2">
      <c r="A23" s="55">
        <v>13</v>
      </c>
      <c r="B23" s="41">
        <f t="shared" si="0"/>
        <v>-273</v>
      </c>
      <c r="C23" s="39"/>
      <c r="D23" s="27">
        <v>11</v>
      </c>
      <c r="E23" s="33">
        <f t="shared" si="1"/>
        <v>-287</v>
      </c>
      <c r="F23" s="33"/>
      <c r="G23" s="34">
        <f t="shared" si="2"/>
        <v>0</v>
      </c>
      <c r="H23" s="34"/>
      <c r="I23" s="27">
        <f t="shared" si="9"/>
        <v>24</v>
      </c>
      <c r="J23" s="33">
        <f t="shared" si="3"/>
        <v>-196</v>
      </c>
      <c r="K23" s="33"/>
      <c r="L23" s="34">
        <f t="shared" si="4"/>
        <v>0</v>
      </c>
      <c r="M23" s="34"/>
      <c r="N23" s="27">
        <f t="shared" si="10"/>
        <v>37</v>
      </c>
      <c r="O23" s="33">
        <f t="shared" si="5"/>
        <v>-105</v>
      </c>
      <c r="P23" s="33"/>
      <c r="Q23" s="34">
        <f t="shared" si="6"/>
        <v>0</v>
      </c>
      <c r="R23" s="34"/>
      <c r="S23" s="27">
        <f t="shared" si="11"/>
        <v>50</v>
      </c>
      <c r="T23" s="33">
        <f t="shared" si="7"/>
        <v>-14</v>
      </c>
      <c r="U23" s="33"/>
      <c r="V23" s="34">
        <f t="shared" si="8"/>
        <v>0</v>
      </c>
      <c r="W23" s="27"/>
    </row>
    <row r="24" spans="1:24" x14ac:dyDescent="0.2">
      <c r="A24" s="55">
        <v>14</v>
      </c>
      <c r="B24" s="41">
        <f t="shared" si="0"/>
        <v>-266</v>
      </c>
      <c r="C24" s="39"/>
      <c r="D24" s="27">
        <v>12</v>
      </c>
      <c r="E24" s="33">
        <f t="shared" si="1"/>
        <v>-280</v>
      </c>
      <c r="F24" s="33"/>
      <c r="G24" s="34">
        <f t="shared" si="2"/>
        <v>0</v>
      </c>
      <c r="H24" s="34"/>
      <c r="I24" s="27">
        <f t="shared" si="9"/>
        <v>25</v>
      </c>
      <c r="J24" s="33">
        <f t="shared" si="3"/>
        <v>-189</v>
      </c>
      <c r="K24" s="33"/>
      <c r="L24" s="34">
        <f t="shared" si="4"/>
        <v>0</v>
      </c>
      <c r="M24" s="34"/>
      <c r="N24" s="27">
        <f t="shared" si="10"/>
        <v>38</v>
      </c>
      <c r="O24" s="33">
        <f t="shared" si="5"/>
        <v>-98</v>
      </c>
      <c r="P24" s="33"/>
      <c r="Q24" s="34">
        <f t="shared" si="6"/>
        <v>0</v>
      </c>
      <c r="R24" s="34"/>
      <c r="S24" s="27">
        <f t="shared" si="11"/>
        <v>51</v>
      </c>
      <c r="T24" s="33">
        <f t="shared" si="7"/>
        <v>-7</v>
      </c>
      <c r="U24" s="33"/>
      <c r="V24" s="34">
        <f t="shared" si="8"/>
        <v>0</v>
      </c>
      <c r="W24" s="27"/>
    </row>
    <row r="25" spans="1:24" x14ac:dyDescent="0.2">
      <c r="A25" s="55">
        <v>15</v>
      </c>
      <c r="B25" s="41">
        <f t="shared" si="0"/>
        <v>-259</v>
      </c>
      <c r="C25" s="39"/>
      <c r="D25" s="27">
        <v>13</v>
      </c>
      <c r="E25" s="33">
        <f t="shared" si="1"/>
        <v>-273</v>
      </c>
      <c r="F25" s="33"/>
      <c r="G25" s="34">
        <f t="shared" si="2"/>
        <v>0</v>
      </c>
      <c r="H25" s="34"/>
      <c r="I25" s="27">
        <f t="shared" si="9"/>
        <v>26</v>
      </c>
      <c r="J25" s="33">
        <f t="shared" si="3"/>
        <v>-182</v>
      </c>
      <c r="K25" s="33"/>
      <c r="L25" s="34">
        <f t="shared" si="4"/>
        <v>0</v>
      </c>
      <c r="M25" s="34"/>
      <c r="N25" s="27">
        <f t="shared" si="10"/>
        <v>39</v>
      </c>
      <c r="O25" s="33">
        <f t="shared" si="5"/>
        <v>-91</v>
      </c>
      <c r="P25" s="33"/>
      <c r="Q25" s="34">
        <f t="shared" si="6"/>
        <v>0</v>
      </c>
      <c r="R25" s="34"/>
      <c r="S25" s="27">
        <f t="shared" si="11"/>
        <v>52</v>
      </c>
      <c r="T25" s="33">
        <f t="shared" si="7"/>
        <v>0</v>
      </c>
      <c r="U25" s="33"/>
      <c r="V25" s="34">
        <f t="shared" si="8"/>
        <v>0</v>
      </c>
      <c r="W25" s="27"/>
    </row>
    <row r="26" spans="1:24" x14ac:dyDescent="0.2">
      <c r="A26" s="55">
        <v>16</v>
      </c>
      <c r="B26" s="41">
        <f t="shared" si="0"/>
        <v>-252</v>
      </c>
      <c r="C26" s="39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4" x14ac:dyDescent="0.2">
      <c r="A27" s="55">
        <v>17</v>
      </c>
      <c r="B27" s="41">
        <f t="shared" si="0"/>
        <v>-245</v>
      </c>
      <c r="C27" s="39"/>
      <c r="D27" s="27"/>
      <c r="E27" s="35" t="s">
        <v>7</v>
      </c>
      <c r="F27" s="35"/>
      <c r="G27" s="34">
        <f>SUM(G13:G25)</f>
        <v>0</v>
      </c>
      <c r="H27" s="34"/>
      <c r="I27" s="34"/>
      <c r="J27" s="34"/>
      <c r="K27" s="35"/>
      <c r="L27" s="34">
        <f>SUM(L13:L25)</f>
        <v>0</v>
      </c>
      <c r="M27" s="34"/>
      <c r="N27" s="34"/>
      <c r="O27" s="34"/>
      <c r="P27" s="35"/>
      <c r="Q27" s="34">
        <f>SUM(Q13:Q25)</f>
        <v>0</v>
      </c>
      <c r="R27" s="34"/>
      <c r="S27" s="27"/>
      <c r="T27" s="34"/>
      <c r="U27" s="35"/>
      <c r="V27" s="34">
        <f>SUM(V13:V25)</f>
        <v>0</v>
      </c>
      <c r="W27" s="27"/>
    </row>
    <row r="28" spans="1:24" x14ac:dyDescent="0.2">
      <c r="A28" s="55">
        <v>18</v>
      </c>
      <c r="B28" s="41">
        <f t="shared" si="0"/>
        <v>-238</v>
      </c>
      <c r="C28" s="39"/>
      <c r="D28" s="27"/>
      <c r="E28" s="35" t="s">
        <v>6</v>
      </c>
      <c r="F28" s="35"/>
      <c r="G28" s="36">
        <f>ROUND(G27/13,2)</f>
        <v>0</v>
      </c>
      <c r="H28" s="34"/>
      <c r="I28" s="34"/>
      <c r="J28" s="34"/>
      <c r="K28" s="35"/>
      <c r="L28" s="36">
        <f>ROUND(L27/13,2)</f>
        <v>0</v>
      </c>
      <c r="M28" s="34"/>
      <c r="N28" s="34"/>
      <c r="O28" s="34"/>
      <c r="P28" s="35"/>
      <c r="Q28" s="36">
        <f>ROUND(Q27/13,2)</f>
        <v>0</v>
      </c>
      <c r="R28" s="34"/>
      <c r="S28" s="34"/>
      <c r="T28" s="34"/>
      <c r="U28" s="35"/>
      <c r="V28" s="36">
        <f>ROUND(V27/13,2)</f>
        <v>0</v>
      </c>
      <c r="W28" s="27"/>
    </row>
    <row r="29" spans="1:24" x14ac:dyDescent="0.2">
      <c r="A29" s="55">
        <v>19</v>
      </c>
      <c r="B29" s="41">
        <f t="shared" si="0"/>
        <v>-231</v>
      </c>
      <c r="C29" s="39"/>
      <c r="D29" s="27"/>
      <c r="E29" s="27"/>
      <c r="F29" s="27"/>
      <c r="G29" s="27"/>
      <c r="H29" s="27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0"/>
      <c r="T29" s="59"/>
      <c r="U29" s="59"/>
      <c r="V29" s="59"/>
      <c r="W29" s="59"/>
      <c r="X29" s="72"/>
    </row>
    <row r="30" spans="1:24" x14ac:dyDescent="0.2">
      <c r="A30" s="55">
        <v>20</v>
      </c>
      <c r="B30" s="41">
        <f t="shared" si="0"/>
        <v>-224</v>
      </c>
      <c r="C30" s="39"/>
      <c r="D30" s="27"/>
      <c r="E30" s="35" t="s">
        <v>10</v>
      </c>
      <c r="F30" s="35"/>
      <c r="G30" s="34">
        <f>MIN(G28, L28, Q28, V28)</f>
        <v>0</v>
      </c>
      <c r="H30" s="60"/>
      <c r="I30" s="59"/>
      <c r="J30" s="79" t="b">
        <f>AND($C$9=2011,$G$32&gt;1286)</f>
        <v>0</v>
      </c>
      <c r="K30" s="82"/>
      <c r="L30" s="81">
        <f>J30*858</f>
        <v>0</v>
      </c>
      <c r="M30" s="65"/>
      <c r="N30" s="59"/>
      <c r="O30" s="59"/>
      <c r="P30" s="74"/>
      <c r="Q30" s="59"/>
      <c r="R30" s="59"/>
      <c r="S30" s="59"/>
      <c r="T30" s="59"/>
      <c r="U30" s="74"/>
      <c r="V30" s="59"/>
      <c r="W30" s="59"/>
      <c r="X30" s="72"/>
    </row>
    <row r="31" spans="1:24" x14ac:dyDescent="0.2">
      <c r="A31" s="55">
        <v>21</v>
      </c>
      <c r="B31" s="41">
        <f t="shared" si="0"/>
        <v>-217</v>
      </c>
      <c r="C31" s="39"/>
      <c r="D31" s="27"/>
      <c r="E31" s="35" t="s">
        <v>8</v>
      </c>
      <c r="F31" s="35"/>
      <c r="G31" s="34">
        <f>(G28+L28+Q28+V28)-G30</f>
        <v>0</v>
      </c>
      <c r="H31" s="60"/>
      <c r="I31" s="59"/>
      <c r="J31" s="79" t="b">
        <f>AND($C$9=2011,1286&gt;=$G$32,643.51&lt;=$G$32)</f>
        <v>0</v>
      </c>
      <c r="K31" s="82"/>
      <c r="L31" s="81">
        <f>J31*$G$32*(2/3)</f>
        <v>0</v>
      </c>
      <c r="M31" s="65"/>
      <c r="N31" s="59"/>
      <c r="O31" s="59"/>
      <c r="P31" s="74"/>
      <c r="Q31" s="59"/>
      <c r="R31" s="59"/>
      <c r="S31" s="59"/>
      <c r="T31" s="59"/>
      <c r="U31" s="74"/>
      <c r="V31" s="59"/>
      <c r="W31" s="59"/>
      <c r="X31" s="72"/>
    </row>
    <row r="32" spans="1:24" x14ac:dyDescent="0.2">
      <c r="A32" s="55">
        <v>22</v>
      </c>
      <c r="B32" s="41">
        <f t="shared" si="0"/>
        <v>-210</v>
      </c>
      <c r="C32" s="39"/>
      <c r="D32" s="27"/>
      <c r="E32" s="35" t="s">
        <v>9</v>
      </c>
      <c r="F32" s="35"/>
      <c r="G32" s="36">
        <f>ROUND((G31/3)+(C64/52),2)</f>
        <v>0</v>
      </c>
      <c r="H32" s="60"/>
      <c r="I32" s="59"/>
      <c r="J32" s="79" t="b">
        <f>AND($C$9=2011,643.5&gt;=$G$32,476.67&lt;=$G$32)</f>
        <v>0</v>
      </c>
      <c r="K32" s="82"/>
      <c r="L32" s="81">
        <f>J32*429</f>
        <v>0</v>
      </c>
      <c r="M32" s="65"/>
      <c r="N32" s="59"/>
      <c r="O32" s="59"/>
      <c r="P32" s="74"/>
      <c r="Q32" s="59"/>
      <c r="R32" s="59"/>
      <c r="S32" s="59"/>
      <c r="T32" s="59"/>
      <c r="U32" s="74"/>
      <c r="V32" s="59"/>
      <c r="W32" s="59"/>
      <c r="X32" s="72"/>
    </row>
    <row r="33" spans="1:24" x14ac:dyDescent="0.2">
      <c r="A33" s="55">
        <v>23</v>
      </c>
      <c r="B33" s="41">
        <f t="shared" si="0"/>
        <v>-203</v>
      </c>
      <c r="C33" s="39"/>
      <c r="D33" s="27"/>
      <c r="E33" s="35" t="s">
        <v>70</v>
      </c>
      <c r="F33" s="35"/>
      <c r="G33" s="34">
        <f>ROUND(SUM(L30:L81),2)</f>
        <v>0</v>
      </c>
      <c r="H33" s="60"/>
      <c r="I33" s="59"/>
      <c r="J33" s="79" t="b">
        <f>AND($C$9=2011,$G$32&lt;476.67)</f>
        <v>0</v>
      </c>
      <c r="K33" s="82"/>
      <c r="L33" s="81">
        <f>J33*$G$32*0.9</f>
        <v>0</v>
      </c>
      <c r="M33" s="65"/>
      <c r="N33" s="59"/>
      <c r="O33" s="59"/>
      <c r="P33" s="74"/>
      <c r="Q33" s="59"/>
      <c r="R33" s="59"/>
      <c r="S33" s="59"/>
      <c r="T33" s="59"/>
      <c r="U33" s="74"/>
      <c r="V33" s="59"/>
      <c r="W33" s="59"/>
      <c r="X33" s="72"/>
    </row>
    <row r="34" spans="1:24" x14ac:dyDescent="0.2">
      <c r="A34" s="55">
        <v>24</v>
      </c>
      <c r="B34" s="41">
        <f t="shared" si="0"/>
        <v>-196</v>
      </c>
      <c r="C34" s="39"/>
      <c r="D34" s="27"/>
      <c r="E34" s="27"/>
      <c r="F34" s="27"/>
      <c r="G34" s="27"/>
      <c r="H34" s="59"/>
      <c r="I34" s="59"/>
      <c r="J34" s="79" t="b">
        <f>AND($C$9=2010,$G$32&gt;1267.5)</f>
        <v>0</v>
      </c>
      <c r="K34" s="79"/>
      <c r="L34" s="81">
        <f>J34*845</f>
        <v>0</v>
      </c>
      <c r="M34" s="65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72"/>
    </row>
    <row r="35" spans="1:24" x14ac:dyDescent="0.2">
      <c r="A35" s="55">
        <v>25</v>
      </c>
      <c r="B35" s="41">
        <f t="shared" si="0"/>
        <v>-189</v>
      </c>
      <c r="C35" s="39"/>
      <c r="D35" s="27"/>
      <c r="E35" s="27"/>
      <c r="F35" s="27"/>
      <c r="G35" s="27"/>
      <c r="H35" s="59"/>
      <c r="I35" s="59"/>
      <c r="J35" s="79" t="b">
        <f>AND($C$9=2010,1267.5&gt;=$G$32,633.76&lt;=$G$32)</f>
        <v>0</v>
      </c>
      <c r="K35" s="79"/>
      <c r="L35" s="81">
        <f>J35*$G$32*(2/3)</f>
        <v>0</v>
      </c>
      <c r="M35" s="65"/>
      <c r="N35" s="64"/>
      <c r="O35" s="59"/>
      <c r="P35" s="59"/>
      <c r="Q35" s="59"/>
      <c r="R35" s="59"/>
      <c r="S35" s="59"/>
      <c r="T35" s="59"/>
      <c r="U35" s="59"/>
      <c r="V35" s="59"/>
      <c r="W35" s="59"/>
      <c r="X35" s="72"/>
    </row>
    <row r="36" spans="1:24" x14ac:dyDescent="0.2">
      <c r="A36" s="55">
        <v>26</v>
      </c>
      <c r="B36" s="41">
        <f t="shared" si="0"/>
        <v>-182</v>
      </c>
      <c r="C36" s="39"/>
      <c r="D36" s="27"/>
      <c r="E36" s="27"/>
      <c r="F36" s="27"/>
      <c r="G36" s="27"/>
      <c r="H36" s="59"/>
      <c r="I36" s="59"/>
      <c r="J36" s="79" t="b">
        <f>AND($C$9=2010,633.75&gt;=$G$32,469.44&lt;=$G$32)</f>
        <v>0</v>
      </c>
      <c r="K36" s="79"/>
      <c r="L36" s="81">
        <f>J36*422.5</f>
        <v>0</v>
      </c>
      <c r="M36" s="65"/>
      <c r="N36" s="64"/>
      <c r="O36" s="59"/>
      <c r="P36" s="59"/>
      <c r="Q36" s="59"/>
      <c r="R36" s="59"/>
      <c r="S36" s="59"/>
      <c r="T36" s="59"/>
      <c r="U36" s="59"/>
      <c r="V36" s="59"/>
      <c r="W36" s="59"/>
      <c r="X36" s="72"/>
    </row>
    <row r="37" spans="1:24" x14ac:dyDescent="0.2">
      <c r="A37" s="55">
        <v>27</v>
      </c>
      <c r="B37" s="41">
        <f t="shared" si="0"/>
        <v>-175</v>
      </c>
      <c r="C37" s="39"/>
      <c r="D37" s="27"/>
      <c r="E37" s="27"/>
      <c r="F37" s="27"/>
      <c r="G37" s="27"/>
      <c r="H37" s="59"/>
      <c r="I37" s="59"/>
      <c r="J37" s="79" t="b">
        <f>AND($C$9=2010,$G$32&lt;=469.43)</f>
        <v>0</v>
      </c>
      <c r="K37" s="79"/>
      <c r="L37" s="81">
        <f>J37*$G$32*0.9</f>
        <v>0</v>
      </c>
      <c r="M37" s="65"/>
      <c r="N37" s="64"/>
      <c r="O37" s="59"/>
      <c r="P37" s="59"/>
      <c r="Q37" s="59"/>
      <c r="R37" s="59"/>
      <c r="S37" s="59"/>
      <c r="T37" s="59"/>
      <c r="U37" s="59"/>
      <c r="V37" s="59"/>
      <c r="W37" s="59"/>
      <c r="X37" s="72"/>
    </row>
    <row r="38" spans="1:24" x14ac:dyDescent="0.2">
      <c r="A38" s="55">
        <v>28</v>
      </c>
      <c r="B38" s="41">
        <f t="shared" si="0"/>
        <v>-168</v>
      </c>
      <c r="C38" s="39"/>
      <c r="D38" s="27"/>
      <c r="E38" s="27"/>
      <c r="F38" s="27"/>
      <c r="G38" s="27"/>
      <c r="H38" s="59"/>
      <c r="I38" s="59"/>
      <c r="J38" s="79" t="b">
        <f>AND($C$9=2009,$G$32&gt;1254)</f>
        <v>0</v>
      </c>
      <c r="K38" s="79"/>
      <c r="L38" s="81">
        <f>J38*836</f>
        <v>0</v>
      </c>
      <c r="M38" s="65"/>
      <c r="N38" s="64"/>
      <c r="O38" s="59"/>
      <c r="P38" s="59"/>
      <c r="Q38" s="59"/>
      <c r="R38" s="59"/>
      <c r="S38" s="59"/>
      <c r="T38" s="59"/>
      <c r="U38" s="59"/>
      <c r="V38" s="59"/>
      <c r="W38" s="59"/>
      <c r="X38" s="72"/>
    </row>
    <row r="39" spans="1:24" x14ac:dyDescent="0.2">
      <c r="A39" s="55">
        <v>29</v>
      </c>
      <c r="B39" s="41">
        <f t="shared" si="0"/>
        <v>-161</v>
      </c>
      <c r="C39" s="39"/>
      <c r="D39" s="27"/>
      <c r="E39" s="27"/>
      <c r="F39" s="27"/>
      <c r="G39" s="27"/>
      <c r="H39" s="59"/>
      <c r="I39" s="59"/>
      <c r="J39" s="79" t="b">
        <f>AND($C$9=2009,1254&gt;=$G$32,627.01&lt;=$G$32)</f>
        <v>0</v>
      </c>
      <c r="K39" s="79"/>
      <c r="L39" s="81">
        <f>J39*$G$32*(2/3)</f>
        <v>0</v>
      </c>
      <c r="M39" s="65"/>
      <c r="N39" s="64"/>
      <c r="O39" s="59"/>
      <c r="P39" s="59"/>
      <c r="Q39" s="59"/>
      <c r="R39" s="59"/>
      <c r="S39" s="59"/>
      <c r="T39" s="59"/>
      <c r="U39" s="59"/>
      <c r="V39" s="59"/>
      <c r="W39" s="59"/>
      <c r="X39" s="72"/>
    </row>
    <row r="40" spans="1:24" x14ac:dyDescent="0.2">
      <c r="A40" s="55">
        <v>30</v>
      </c>
      <c r="B40" s="41">
        <f t="shared" si="0"/>
        <v>-154</v>
      </c>
      <c r="C40" s="39"/>
      <c r="D40" s="27"/>
      <c r="E40" s="27"/>
      <c r="F40" s="27"/>
      <c r="G40" s="27"/>
      <c r="H40" s="59"/>
      <c r="I40" s="59"/>
      <c r="J40" s="79" t="b">
        <f>AND($C$9=2009,627&gt;=$G$32,464.44&lt;=$G$32)</f>
        <v>0</v>
      </c>
      <c r="K40" s="79"/>
      <c r="L40" s="81">
        <f>J40*418</f>
        <v>0</v>
      </c>
      <c r="M40" s="65"/>
      <c r="N40" s="64"/>
      <c r="O40" s="59"/>
      <c r="P40" s="59"/>
      <c r="Q40" s="59"/>
      <c r="R40" s="59"/>
      <c r="S40" s="59"/>
      <c r="T40" s="59"/>
      <c r="U40" s="59"/>
      <c r="V40" s="59"/>
      <c r="W40" s="59"/>
      <c r="X40" s="72"/>
    </row>
    <row r="41" spans="1:24" x14ac:dyDescent="0.2">
      <c r="A41" s="55">
        <v>31</v>
      </c>
      <c r="B41" s="41">
        <f t="shared" si="0"/>
        <v>-147</v>
      </c>
      <c r="C41" s="39"/>
      <c r="D41" s="27"/>
      <c r="E41" s="27"/>
      <c r="F41" s="27"/>
      <c r="G41" s="27"/>
      <c r="H41" s="59"/>
      <c r="I41" s="59"/>
      <c r="J41" s="79" t="b">
        <f>AND($C$9=2009,$G$32&lt;=464.43)</f>
        <v>0</v>
      </c>
      <c r="K41" s="79"/>
      <c r="L41" s="81">
        <f>J41*$G$32*0.9</f>
        <v>0</v>
      </c>
      <c r="M41" s="65"/>
      <c r="N41" s="64"/>
      <c r="O41" s="59"/>
      <c r="P41" s="59"/>
      <c r="Q41" s="59"/>
      <c r="R41" s="59"/>
      <c r="S41" s="59"/>
      <c r="T41" s="59"/>
      <c r="U41" s="59"/>
      <c r="V41" s="59"/>
      <c r="W41" s="59"/>
      <c r="X41" s="72"/>
    </row>
    <row r="42" spans="1:24" x14ac:dyDescent="0.2">
      <c r="A42" s="55">
        <v>32</v>
      </c>
      <c r="B42" s="41">
        <f t="shared" si="0"/>
        <v>-140</v>
      </c>
      <c r="C42" s="39"/>
      <c r="D42" s="27"/>
      <c r="E42" s="27"/>
      <c r="F42" s="27"/>
      <c r="G42" s="27"/>
      <c r="H42" s="59"/>
      <c r="I42" s="59"/>
      <c r="J42" s="79" t="b">
        <f>AND($C$9=2008,$G$32&gt;1210.5)</f>
        <v>0</v>
      </c>
      <c r="K42" s="79"/>
      <c r="L42" s="81">
        <f>J42*807</f>
        <v>0</v>
      </c>
      <c r="M42" s="65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72"/>
    </row>
    <row r="43" spans="1:24" x14ac:dyDescent="0.2">
      <c r="A43" s="55">
        <v>33</v>
      </c>
      <c r="B43" s="41">
        <f t="shared" si="0"/>
        <v>-133</v>
      </c>
      <c r="C43" s="39"/>
      <c r="D43" s="27"/>
      <c r="E43" s="27"/>
      <c r="F43" s="27"/>
      <c r="G43" s="27"/>
      <c r="H43" s="59"/>
      <c r="I43" s="59"/>
      <c r="J43" s="79" t="b">
        <f>AND($C$9=2008,1210.5&gt;=$G$32,605.26&lt;=$G$32)</f>
        <v>0</v>
      </c>
      <c r="K43" s="79"/>
      <c r="L43" s="81">
        <f>J43*$G$32*(2/3)</f>
        <v>0</v>
      </c>
      <c r="M43" s="65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72"/>
    </row>
    <row r="44" spans="1:24" x14ac:dyDescent="0.2">
      <c r="A44" s="55">
        <v>34</v>
      </c>
      <c r="B44" s="41">
        <f t="shared" si="0"/>
        <v>-126</v>
      </c>
      <c r="C44" s="39"/>
      <c r="D44" s="27"/>
      <c r="E44" s="27"/>
      <c r="F44" s="27"/>
      <c r="G44" s="27"/>
      <c r="H44" s="59"/>
      <c r="I44" s="59"/>
      <c r="J44" s="79" t="b">
        <f>AND($C$9=2008,605.25&gt;=$G$32,448.33&lt;=$G$32)</f>
        <v>0</v>
      </c>
      <c r="K44" s="79"/>
      <c r="L44" s="81">
        <f>J44*403.5</f>
        <v>0</v>
      </c>
      <c r="M44" s="65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72"/>
    </row>
    <row r="45" spans="1:24" x14ac:dyDescent="0.2">
      <c r="A45" s="55">
        <v>35</v>
      </c>
      <c r="B45" s="41">
        <f t="shared" si="0"/>
        <v>-119</v>
      </c>
      <c r="C45" s="39"/>
      <c r="D45" s="27"/>
      <c r="E45" s="27"/>
      <c r="F45" s="27"/>
      <c r="G45" s="27"/>
      <c r="H45" s="59"/>
      <c r="I45" s="59"/>
      <c r="J45" s="79" t="b">
        <f>AND($C$9=2008,$G$32&lt;=448.32)</f>
        <v>0</v>
      </c>
      <c r="K45" s="79"/>
      <c r="L45" s="81">
        <f>J45*$G$32*0.9</f>
        <v>0</v>
      </c>
      <c r="M45" s="65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72"/>
    </row>
    <row r="46" spans="1:24" x14ac:dyDescent="0.2">
      <c r="A46" s="55">
        <v>36</v>
      </c>
      <c r="B46" s="41">
        <f t="shared" si="0"/>
        <v>-112</v>
      </c>
      <c r="C46" s="39"/>
      <c r="D46" s="27"/>
      <c r="E46" s="27"/>
      <c r="F46" s="27"/>
      <c r="G46" s="27"/>
      <c r="H46" s="59"/>
      <c r="I46" s="59"/>
      <c r="J46" s="79" t="b">
        <f>AND($C$9=2012,$G$32&gt;1332)</f>
        <v>0</v>
      </c>
      <c r="K46" s="79"/>
      <c r="L46" s="81">
        <f>J46*888</f>
        <v>0</v>
      </c>
      <c r="M46" s="65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72"/>
    </row>
    <row r="47" spans="1:24" x14ac:dyDescent="0.2">
      <c r="A47" s="55">
        <v>37</v>
      </c>
      <c r="B47" s="41">
        <f t="shared" si="0"/>
        <v>-105</v>
      </c>
      <c r="C47" s="39"/>
      <c r="D47" s="27"/>
      <c r="E47" s="27"/>
      <c r="F47" s="27"/>
      <c r="G47" s="27"/>
      <c r="H47" s="59"/>
      <c r="I47" s="59"/>
      <c r="J47" s="79" t="b">
        <f>AND($C$9=2012,1332&gt;=$G$32,666.01&lt;=$G$32)</f>
        <v>0</v>
      </c>
      <c r="K47" s="79"/>
      <c r="L47" s="81">
        <f>J47*$G$32*(2/3)</f>
        <v>0</v>
      </c>
      <c r="M47" s="65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72"/>
    </row>
    <row r="48" spans="1:24" x14ac:dyDescent="0.2">
      <c r="A48" s="55">
        <v>38</v>
      </c>
      <c r="B48" s="41">
        <f t="shared" si="0"/>
        <v>-98</v>
      </c>
      <c r="C48" s="39"/>
      <c r="D48" s="27"/>
      <c r="E48" s="27"/>
      <c r="F48" s="27"/>
      <c r="G48" s="27"/>
      <c r="H48" s="59"/>
      <c r="I48" s="59"/>
      <c r="J48" s="79" t="b">
        <f>AND($C$9=2012,666&gt;=$G$32,493.33&lt;=$G$32)</f>
        <v>0</v>
      </c>
      <c r="K48" s="79"/>
      <c r="L48" s="81">
        <f>J48*444</f>
        <v>0</v>
      </c>
      <c r="M48" s="65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72"/>
    </row>
    <row r="49" spans="1:24" x14ac:dyDescent="0.2">
      <c r="A49" s="55">
        <v>39</v>
      </c>
      <c r="B49" s="41">
        <f t="shared" si="0"/>
        <v>-91</v>
      </c>
      <c r="C49" s="39"/>
      <c r="D49" s="27"/>
      <c r="E49" s="27"/>
      <c r="F49" s="27"/>
      <c r="G49" s="27"/>
      <c r="H49" s="59"/>
      <c r="I49" s="59"/>
      <c r="J49" s="79" t="b">
        <f>AND($C$9=2012,$G$32&lt;493.33)</f>
        <v>0</v>
      </c>
      <c r="K49" s="79"/>
      <c r="L49" s="81">
        <f>J49*$G$32*0.9</f>
        <v>0</v>
      </c>
      <c r="M49" s="65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72"/>
    </row>
    <row r="50" spans="1:24" x14ac:dyDescent="0.2">
      <c r="A50" s="55">
        <v>40</v>
      </c>
      <c r="B50" s="41">
        <f t="shared" si="0"/>
        <v>-84</v>
      </c>
      <c r="C50" s="39"/>
      <c r="D50" s="27"/>
      <c r="E50" s="27"/>
      <c r="F50" s="27"/>
      <c r="G50" s="27"/>
      <c r="H50" s="59"/>
      <c r="I50" s="59"/>
      <c r="J50" s="79" t="b">
        <f>AND($C$9=2013,$G$32&gt;1375.5)</f>
        <v>0</v>
      </c>
      <c r="K50" s="79"/>
      <c r="L50" s="81">
        <f>J50*917</f>
        <v>0</v>
      </c>
      <c r="M50" s="65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72"/>
    </row>
    <row r="51" spans="1:24" x14ac:dyDescent="0.2">
      <c r="A51" s="55">
        <v>41</v>
      </c>
      <c r="B51" s="41">
        <f t="shared" si="0"/>
        <v>-77</v>
      </c>
      <c r="C51" s="39"/>
      <c r="D51" s="27"/>
      <c r="E51" s="27"/>
      <c r="F51" s="27"/>
      <c r="G51" s="27"/>
      <c r="H51" s="59"/>
      <c r="I51" s="59"/>
      <c r="J51" s="79" t="b">
        <f>AND($C$9=2013,1375.5&gt;=$G$32,687.76&lt;=$G$32)</f>
        <v>0</v>
      </c>
      <c r="K51" s="79"/>
      <c r="L51" s="81">
        <f>J51*$G$32*(2/3)</f>
        <v>0</v>
      </c>
      <c r="M51" s="65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72"/>
    </row>
    <row r="52" spans="1:24" x14ac:dyDescent="0.2">
      <c r="A52" s="55">
        <v>42</v>
      </c>
      <c r="B52" s="41">
        <f t="shared" si="0"/>
        <v>-70</v>
      </c>
      <c r="C52" s="39"/>
      <c r="D52" s="27"/>
      <c r="E52" s="27"/>
      <c r="F52" s="27"/>
      <c r="G52" s="27"/>
      <c r="H52" s="59"/>
      <c r="I52" s="59"/>
      <c r="J52" s="79" t="b">
        <f>AND($C$9=2013,687.75&gt;=$G$32,509.44&lt;=$G$32)</f>
        <v>0</v>
      </c>
      <c r="K52" s="79"/>
      <c r="L52" s="81">
        <f>J52*458.5</f>
        <v>0</v>
      </c>
      <c r="M52" s="65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72"/>
    </row>
    <row r="53" spans="1:24" x14ac:dyDescent="0.2">
      <c r="A53" s="55">
        <v>43</v>
      </c>
      <c r="B53" s="41">
        <f t="shared" si="0"/>
        <v>-63</v>
      </c>
      <c r="C53" s="39"/>
      <c r="D53" s="27"/>
      <c r="E53" s="27"/>
      <c r="F53" s="27"/>
      <c r="G53" s="27"/>
      <c r="H53" s="59"/>
      <c r="I53" s="59"/>
      <c r="J53" s="79" t="b">
        <f>AND($C$9=2013,$G$32&lt;509.43)</f>
        <v>0</v>
      </c>
      <c r="K53" s="79"/>
      <c r="L53" s="81">
        <f>J53*$G$32*0.9</f>
        <v>0</v>
      </c>
      <c r="M53" s="65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72"/>
    </row>
    <row r="54" spans="1:24" x14ac:dyDescent="0.2">
      <c r="A54" s="55">
        <v>44</v>
      </c>
      <c r="B54" s="41">
        <f t="shared" si="0"/>
        <v>-56</v>
      </c>
      <c r="C54" s="39"/>
      <c r="D54" s="27"/>
      <c r="E54" s="27"/>
      <c r="F54" s="27"/>
      <c r="G54" s="27"/>
      <c r="H54" s="59"/>
      <c r="I54" s="59"/>
      <c r="J54" s="79" t="b">
        <f>AND($C$9=2014,$G$32&gt;1398)</f>
        <v>0</v>
      </c>
      <c r="K54" s="79"/>
      <c r="L54" s="81">
        <f>J54*932</f>
        <v>0</v>
      </c>
      <c r="M54" s="65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72"/>
    </row>
    <row r="55" spans="1:24" x14ac:dyDescent="0.2">
      <c r="A55" s="55">
        <v>45</v>
      </c>
      <c r="B55" s="41">
        <f t="shared" si="0"/>
        <v>-49</v>
      </c>
      <c r="C55" s="39"/>
      <c r="D55" s="27"/>
      <c r="E55" s="27"/>
      <c r="F55" s="27"/>
      <c r="G55" s="27"/>
      <c r="H55" s="59"/>
      <c r="I55" s="59"/>
      <c r="J55" s="79" t="b">
        <f>AND($C$9=2014,1398&gt;=$G$32,699.01&lt;=$G$32)</f>
        <v>0</v>
      </c>
      <c r="K55" s="79"/>
      <c r="L55" s="81">
        <f>J55*$G$32*(2/3)</f>
        <v>0</v>
      </c>
      <c r="M55" s="65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72"/>
    </row>
    <row r="56" spans="1:24" x14ac:dyDescent="0.2">
      <c r="A56" s="55">
        <v>46</v>
      </c>
      <c r="B56" s="41">
        <f t="shared" si="0"/>
        <v>-42</v>
      </c>
      <c r="C56" s="39"/>
      <c r="D56" s="27"/>
      <c r="E56" s="27"/>
      <c r="F56" s="27"/>
      <c r="G56" s="27"/>
      <c r="H56" s="59"/>
      <c r="I56" s="59"/>
      <c r="J56" s="79" t="b">
        <f>AND($C$9=2014,699&gt;=$G$32,517.78&lt;=$G$32)</f>
        <v>0</v>
      </c>
      <c r="K56" s="79"/>
      <c r="L56" s="81">
        <f>J56*466</f>
        <v>0</v>
      </c>
      <c r="M56" s="65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72"/>
    </row>
    <row r="57" spans="1:24" x14ac:dyDescent="0.2">
      <c r="A57" s="55">
        <v>47</v>
      </c>
      <c r="B57" s="41">
        <f t="shared" si="0"/>
        <v>-35</v>
      </c>
      <c r="C57" s="39"/>
      <c r="D57" s="27"/>
      <c r="E57" s="27"/>
      <c r="F57" s="27"/>
      <c r="G57" s="27"/>
      <c r="H57" s="59"/>
      <c r="I57" s="59"/>
      <c r="J57" s="79" t="b">
        <f>AND($C$9=2014,$G$32&lt;517.78)</f>
        <v>0</v>
      </c>
      <c r="K57" s="79"/>
      <c r="L57" s="81">
        <f>J57*$G$32*0.9</f>
        <v>0</v>
      </c>
      <c r="M57" s="65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72"/>
    </row>
    <row r="58" spans="1:24" x14ac:dyDescent="0.2">
      <c r="A58" s="55">
        <v>48</v>
      </c>
      <c r="B58" s="41">
        <f t="shared" si="0"/>
        <v>-28</v>
      </c>
      <c r="C58" s="39"/>
      <c r="D58" s="27"/>
      <c r="E58" s="27"/>
      <c r="F58" s="27"/>
      <c r="G58" s="27"/>
      <c r="H58" s="27"/>
      <c r="I58" s="59"/>
      <c r="J58" s="79" t="b">
        <f>AND($C$9=2015,$G$32&gt;1426.5)</f>
        <v>0</v>
      </c>
      <c r="K58" s="79"/>
      <c r="L58" s="81">
        <f>J58*951</f>
        <v>0</v>
      </c>
      <c r="M58" s="65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72"/>
    </row>
    <row r="59" spans="1:24" x14ac:dyDescent="0.2">
      <c r="A59" s="55">
        <v>49</v>
      </c>
      <c r="B59" s="41">
        <f t="shared" si="0"/>
        <v>-21</v>
      </c>
      <c r="C59" s="39"/>
      <c r="D59" s="27"/>
      <c r="E59" s="27"/>
      <c r="F59" s="27"/>
      <c r="G59" s="27"/>
      <c r="H59" s="27"/>
      <c r="I59" s="59"/>
      <c r="J59" s="79" t="b">
        <f>AND($C$9=2015,1426.5&gt;=$G$32,713.26&lt;=$G$32)</f>
        <v>0</v>
      </c>
      <c r="K59" s="79"/>
      <c r="L59" s="81">
        <f>J59*$G$32*(2/3)</f>
        <v>0</v>
      </c>
      <c r="M59" s="65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72"/>
    </row>
    <row r="60" spans="1:24" x14ac:dyDescent="0.2">
      <c r="A60" s="55">
        <v>50</v>
      </c>
      <c r="B60" s="41">
        <f t="shared" si="0"/>
        <v>-14</v>
      </c>
      <c r="C60" s="39"/>
      <c r="D60" s="27"/>
      <c r="E60" s="27"/>
      <c r="F60" s="27"/>
      <c r="G60" s="27"/>
      <c r="H60" s="27"/>
      <c r="I60" s="59"/>
      <c r="J60" s="79" t="b">
        <f>AND($C$9=2015,713.25&gt;=$G$32,528.33&lt;=$G$32)</f>
        <v>0</v>
      </c>
      <c r="K60" s="79"/>
      <c r="L60" s="81">
        <f>J60*475.5</f>
        <v>0</v>
      </c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72"/>
    </row>
    <row r="61" spans="1:24" x14ac:dyDescent="0.2">
      <c r="A61" s="55">
        <v>51</v>
      </c>
      <c r="B61" s="41">
        <f>B62-7</f>
        <v>-7</v>
      </c>
      <c r="C61" s="39"/>
      <c r="D61" s="27"/>
      <c r="E61" s="27"/>
      <c r="F61" s="27"/>
      <c r="G61" s="27"/>
      <c r="H61" s="27"/>
      <c r="I61" s="59"/>
      <c r="J61" s="79" t="b">
        <f>AND($C$9=2015,$G$32&lt;=528.32)</f>
        <v>0</v>
      </c>
      <c r="K61" s="79"/>
      <c r="L61" s="81">
        <f>J61*$G$32*0.9</f>
        <v>0</v>
      </c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72"/>
    </row>
    <row r="62" spans="1:24" x14ac:dyDescent="0.2">
      <c r="A62" s="30">
        <v>52</v>
      </c>
      <c r="B62" s="40"/>
      <c r="C62" s="39"/>
      <c r="D62" s="27"/>
      <c r="E62" s="27"/>
      <c r="F62" s="27"/>
      <c r="G62" s="27"/>
      <c r="H62" s="27"/>
      <c r="I62" s="59"/>
      <c r="J62" s="79" t="b">
        <f>AND($C$9=2016,$G$32&gt;1467)</f>
        <v>0</v>
      </c>
      <c r="K62" s="79"/>
      <c r="L62" s="81">
        <f>J62*978</f>
        <v>0</v>
      </c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72"/>
    </row>
    <row r="63" spans="1:24" x14ac:dyDescent="0.2">
      <c r="A63" s="55"/>
      <c r="B63" s="33"/>
      <c r="D63" s="27"/>
      <c r="E63" s="27"/>
      <c r="F63" s="27"/>
      <c r="G63" s="27"/>
      <c r="H63" s="27"/>
      <c r="I63" s="59"/>
      <c r="J63" s="79" t="b">
        <f>AND($C$9=2016,1467&gt;=$G$32,733.51&lt;=$G$32)</f>
        <v>0</v>
      </c>
      <c r="K63" s="79"/>
      <c r="L63" s="81">
        <f>J63*$G$32*(2/3)</f>
        <v>0</v>
      </c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72"/>
    </row>
    <row r="64" spans="1:24" x14ac:dyDescent="0.2">
      <c r="A64" s="55"/>
      <c r="B64" s="58" t="s">
        <v>13</v>
      </c>
      <c r="C64" s="37"/>
      <c r="D64" s="27"/>
      <c r="E64" s="27"/>
      <c r="F64" s="27"/>
      <c r="G64" s="27"/>
      <c r="H64" s="27"/>
      <c r="I64" s="59"/>
      <c r="J64" s="79" t="b">
        <f>AND($C$9=2016,733.51&gt;=$G$32,543.33&lt;=$G$32)</f>
        <v>0</v>
      </c>
      <c r="K64" s="79"/>
      <c r="L64" s="81">
        <f>J64*489</f>
        <v>0</v>
      </c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72"/>
    </row>
    <row r="65" spans="4:24" x14ac:dyDescent="0.2">
      <c r="D65" s="27"/>
      <c r="E65" s="27"/>
      <c r="F65" s="27"/>
      <c r="G65" s="27"/>
      <c r="H65" s="27"/>
      <c r="I65" s="59"/>
      <c r="J65" s="79" t="b">
        <f>AND($C$9=2016,$G$32&lt;=543.32)</f>
        <v>0</v>
      </c>
      <c r="K65" s="79"/>
      <c r="L65" s="81">
        <f>J65*$G$32*0.9</f>
        <v>0</v>
      </c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72"/>
    </row>
    <row r="66" spans="4:24" x14ac:dyDescent="0.2">
      <c r="E66" s="27"/>
      <c r="F66" s="27"/>
      <c r="G66" s="27"/>
      <c r="H66" s="27"/>
      <c r="I66" s="59"/>
      <c r="J66" s="79" t="b">
        <f>AND($C$9=2017,$G$32&gt;1492.5)</f>
        <v>0</v>
      </c>
      <c r="K66" s="79"/>
      <c r="L66" s="81">
        <f>J66*995</f>
        <v>0</v>
      </c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72"/>
      <c r="X66" s="72"/>
    </row>
    <row r="67" spans="4:24" x14ac:dyDescent="0.2">
      <c r="I67" s="72"/>
      <c r="J67" s="79" t="b">
        <f>AND($C$9=2017,1492.5&gt;=$G$32,746.26&lt;=$G$32)</f>
        <v>0</v>
      </c>
      <c r="K67" s="79"/>
      <c r="L67" s="81">
        <f>J67*$G$32*(2/3)</f>
        <v>0</v>
      </c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</row>
    <row r="68" spans="4:24" x14ac:dyDescent="0.2">
      <c r="I68" s="72"/>
      <c r="J68" s="79" t="b">
        <f>AND($C$9=2017,746.25&gt;=$G$32,552.78&lt;=$G$32)</f>
        <v>0</v>
      </c>
      <c r="K68" s="79"/>
      <c r="L68" s="81">
        <f>J68*497.5</f>
        <v>0</v>
      </c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</row>
    <row r="69" spans="4:24" x14ac:dyDescent="0.2">
      <c r="I69" s="72"/>
      <c r="J69" s="79" t="b">
        <f>AND($C$9=2017,$G$32&lt;=552.77)</f>
        <v>0</v>
      </c>
      <c r="K69" s="79"/>
      <c r="L69" s="81">
        <f>J69*$G$32*0.9</f>
        <v>0</v>
      </c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</row>
    <row r="70" spans="4:24" x14ac:dyDescent="0.2">
      <c r="I70" s="72"/>
      <c r="J70" s="79" t="b">
        <f>AND($C$9=2018,$G$32&gt;1537.5)</f>
        <v>0</v>
      </c>
      <c r="K70" s="79"/>
      <c r="L70" s="81">
        <f>J70*1025</f>
        <v>0</v>
      </c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</row>
    <row r="71" spans="4:24" x14ac:dyDescent="0.2">
      <c r="I71" s="72"/>
      <c r="J71" s="79" t="b">
        <f>AND($C$9=2018,1537.5&gt;=$G$32,768.76&lt;=$G$32)</f>
        <v>0</v>
      </c>
      <c r="K71" s="79"/>
      <c r="L71" s="81">
        <f>J71*$G$32*(2/3)</f>
        <v>0</v>
      </c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</row>
    <row r="72" spans="4:24" x14ac:dyDescent="0.2">
      <c r="I72" s="72"/>
      <c r="J72" s="79" t="b">
        <f>AND($C$9=2018,768.75&gt;=$G$32,569.44&lt;=$G$32)</f>
        <v>0</v>
      </c>
      <c r="K72" s="79"/>
      <c r="L72" s="81">
        <f>J72*512.5</f>
        <v>0</v>
      </c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</row>
    <row r="73" spans="4:24" x14ac:dyDescent="0.2">
      <c r="I73" s="72"/>
      <c r="J73" s="79" t="b">
        <f>AND($C$9=2018,$G$32&lt;=569.43)</f>
        <v>0</v>
      </c>
      <c r="K73" s="79"/>
      <c r="L73" s="81">
        <f>J73*$G$32*0.9</f>
        <v>0</v>
      </c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</row>
    <row r="74" spans="4:24" x14ac:dyDescent="0.2">
      <c r="I74" s="72"/>
      <c r="J74" s="79" t="b">
        <f>AND($C$9=2019,$G$32&gt;1573.5)</f>
        <v>0</v>
      </c>
      <c r="K74" s="79"/>
      <c r="L74" s="81">
        <f>J74*1049</f>
        <v>0</v>
      </c>
      <c r="M74" s="72"/>
      <c r="N74" s="72"/>
      <c r="O74" s="72"/>
      <c r="P74" s="72"/>
      <c r="Q74" s="72"/>
      <c r="R74" s="72"/>
    </row>
    <row r="75" spans="4:24" x14ac:dyDescent="0.2">
      <c r="I75" s="72"/>
      <c r="J75" s="79" t="b">
        <f>AND($C$9=2019,1573.5&gt;=$G$32,786.76&lt;=$G$32)</f>
        <v>0</v>
      </c>
      <c r="K75" s="79"/>
      <c r="L75" s="81">
        <f>J75*$G$32*(2/3)</f>
        <v>0</v>
      </c>
      <c r="M75" s="72"/>
      <c r="N75" s="72"/>
      <c r="O75" s="72"/>
      <c r="P75" s="72"/>
      <c r="Q75" s="72"/>
      <c r="R75" s="72"/>
    </row>
    <row r="76" spans="4:24" x14ac:dyDescent="0.2">
      <c r="I76" s="72"/>
      <c r="J76" s="79" t="b">
        <f>AND($C$9=2019,786.75&gt;=$G$32,582.78&lt;=$G$32)</f>
        <v>0</v>
      </c>
      <c r="K76" s="79"/>
      <c r="L76" s="81">
        <f>J76*524.5</f>
        <v>0</v>
      </c>
      <c r="M76" s="72"/>
      <c r="N76" s="72"/>
      <c r="O76" s="72"/>
      <c r="P76" s="72"/>
      <c r="Q76" s="72"/>
      <c r="R76" s="72"/>
    </row>
    <row r="77" spans="4:24" x14ac:dyDescent="0.2">
      <c r="I77" s="72"/>
      <c r="J77" s="79" t="b">
        <f>AND($C$9=2019,$G$32&lt;=582.77)</f>
        <v>0</v>
      </c>
      <c r="K77" s="79"/>
      <c r="L77" s="81">
        <f>J77*$G$32*0.9</f>
        <v>0</v>
      </c>
      <c r="M77" s="72"/>
      <c r="N77" s="72"/>
      <c r="O77" s="72"/>
      <c r="P77" s="72"/>
      <c r="Q77" s="72"/>
      <c r="R77" s="72"/>
    </row>
    <row r="78" spans="4:24" x14ac:dyDescent="0.2">
      <c r="I78" s="72"/>
      <c r="J78" s="79" t="b">
        <f>AND($C$9=2020,$G$32&gt;1621.5)</f>
        <v>0</v>
      </c>
      <c r="K78" s="79"/>
      <c r="L78" s="81">
        <f>J78*1081</f>
        <v>0</v>
      </c>
      <c r="M78" s="72"/>
      <c r="N78" s="72"/>
      <c r="O78" s="72"/>
      <c r="P78" s="72"/>
      <c r="Q78" s="72"/>
      <c r="R78" s="72"/>
    </row>
    <row r="79" spans="4:24" x14ac:dyDescent="0.2">
      <c r="I79" s="72"/>
      <c r="J79" s="79" t="b">
        <f>AND($C$9=2020,1621.5&gt;=$G$32,810.76&lt;=$G$32)</f>
        <v>0</v>
      </c>
      <c r="K79" s="79"/>
      <c r="L79" s="81">
        <f>J79*$G$32*(2/3)</f>
        <v>0</v>
      </c>
      <c r="M79" s="72"/>
      <c r="N79" s="72"/>
      <c r="O79" s="72"/>
      <c r="P79" s="72"/>
      <c r="Q79" s="72"/>
      <c r="R79" s="72"/>
    </row>
    <row r="80" spans="4:24" x14ac:dyDescent="0.2">
      <c r="I80" s="72"/>
      <c r="J80" s="79" t="b">
        <f>AND($C$9=2020,810.75&gt;=$G$32,600.56&lt;=$G$32)</f>
        <v>0</v>
      </c>
      <c r="K80" s="79"/>
      <c r="L80" s="81">
        <f>J80*540.5</f>
        <v>0</v>
      </c>
      <c r="M80" s="72"/>
      <c r="N80" s="72"/>
      <c r="O80" s="72"/>
      <c r="P80" s="72"/>
      <c r="Q80" s="72"/>
      <c r="R80" s="72"/>
    </row>
    <row r="81" spans="9:18" x14ac:dyDescent="0.2">
      <c r="I81" s="72"/>
      <c r="J81" s="79" t="b">
        <f>AND($C$9=2020,$G$32&lt;=600.55)</f>
        <v>0</v>
      </c>
      <c r="K81" s="79"/>
      <c r="L81" s="81">
        <f>J81*$G$32*0.9</f>
        <v>0</v>
      </c>
      <c r="M81" s="72"/>
      <c r="N81" s="72"/>
      <c r="O81" s="72"/>
      <c r="P81" s="72"/>
      <c r="Q81" s="72"/>
      <c r="R81" s="72"/>
    </row>
    <row r="82" spans="9:18" x14ac:dyDescent="0.2">
      <c r="I82" s="72"/>
      <c r="J82" s="79"/>
      <c r="K82" s="79"/>
      <c r="L82" s="79"/>
      <c r="M82" s="72"/>
      <c r="N82" s="72"/>
      <c r="O82" s="72"/>
      <c r="P82" s="72"/>
      <c r="Q82" s="72"/>
      <c r="R82" s="72"/>
    </row>
    <row r="83" spans="9:18" x14ac:dyDescent="0.2">
      <c r="I83" s="72"/>
      <c r="J83" s="79"/>
      <c r="K83" s="79"/>
      <c r="L83" s="79"/>
      <c r="M83" s="72"/>
      <c r="N83" s="72"/>
      <c r="O83" s="72"/>
      <c r="P83" s="72"/>
      <c r="Q83" s="72"/>
      <c r="R83" s="72"/>
    </row>
    <row r="84" spans="9:18" x14ac:dyDescent="0.2">
      <c r="I84" s="72"/>
      <c r="J84" s="79"/>
      <c r="K84" s="79"/>
      <c r="L84" s="79"/>
      <c r="M84" s="72"/>
      <c r="N84" s="72"/>
      <c r="O84" s="72"/>
      <c r="P84" s="72"/>
      <c r="Q84" s="72"/>
      <c r="R84" s="72"/>
    </row>
    <row r="85" spans="9:18" x14ac:dyDescent="0.2">
      <c r="I85" s="72"/>
      <c r="J85" s="79"/>
      <c r="K85" s="79"/>
      <c r="L85" s="79"/>
      <c r="M85" s="72"/>
      <c r="N85" s="72"/>
      <c r="O85" s="72"/>
      <c r="P85" s="72"/>
      <c r="Q85" s="72"/>
      <c r="R85" s="72"/>
    </row>
    <row r="86" spans="9:18" x14ac:dyDescent="0.2">
      <c r="I86" s="72"/>
      <c r="J86" s="73"/>
      <c r="K86" s="73"/>
      <c r="L86" s="73"/>
      <c r="M86" s="72"/>
      <c r="N86" s="72"/>
      <c r="O86" s="72"/>
      <c r="P86" s="72"/>
      <c r="Q86" s="72"/>
      <c r="R86" s="72"/>
    </row>
    <row r="87" spans="9:18" x14ac:dyDescent="0.2">
      <c r="I87" s="72"/>
      <c r="J87" s="73"/>
      <c r="K87" s="73"/>
      <c r="L87" s="73"/>
      <c r="M87" s="72"/>
      <c r="N87" s="72"/>
      <c r="O87" s="72"/>
      <c r="P87" s="72"/>
      <c r="Q87" s="72"/>
      <c r="R87" s="72"/>
    </row>
    <row r="88" spans="9:18" x14ac:dyDescent="0.2">
      <c r="I88" s="72"/>
      <c r="J88" s="73"/>
      <c r="K88" s="73"/>
      <c r="L88" s="73"/>
      <c r="M88" s="72"/>
      <c r="N88" s="72"/>
      <c r="O88" s="72"/>
      <c r="P88" s="72"/>
      <c r="Q88" s="72"/>
      <c r="R88" s="72"/>
    </row>
    <row r="89" spans="9:18" x14ac:dyDescent="0.2">
      <c r="I89" s="72"/>
      <c r="J89" s="73"/>
      <c r="K89" s="73"/>
      <c r="L89" s="73"/>
      <c r="M89" s="72"/>
      <c r="N89" s="72"/>
      <c r="O89" s="72"/>
      <c r="P89" s="72"/>
      <c r="Q89" s="72"/>
      <c r="R89" s="72"/>
    </row>
    <row r="90" spans="9:18" x14ac:dyDescent="0.2">
      <c r="I90" s="72"/>
      <c r="J90" s="73"/>
      <c r="K90" s="73"/>
      <c r="L90" s="73"/>
      <c r="M90" s="72"/>
      <c r="N90" s="72"/>
      <c r="O90" s="72"/>
      <c r="P90" s="72"/>
      <c r="Q90" s="72"/>
      <c r="R90" s="72"/>
    </row>
    <row r="91" spans="9:18" x14ac:dyDescent="0.2">
      <c r="I91" s="72"/>
      <c r="J91" s="73"/>
      <c r="K91" s="73"/>
      <c r="L91" s="73"/>
      <c r="M91" s="72"/>
      <c r="N91" s="72"/>
      <c r="O91" s="72"/>
      <c r="P91" s="72"/>
      <c r="Q91" s="72"/>
      <c r="R91" s="72"/>
    </row>
    <row r="92" spans="9:18" x14ac:dyDescent="0.2">
      <c r="I92" s="72"/>
      <c r="J92" s="73"/>
      <c r="K92" s="73"/>
      <c r="L92" s="73"/>
      <c r="M92" s="72"/>
      <c r="N92" s="72"/>
      <c r="O92" s="72"/>
      <c r="P92" s="72"/>
      <c r="Q92" s="72"/>
      <c r="R92" s="72"/>
    </row>
    <row r="93" spans="9:18" x14ac:dyDescent="0.2">
      <c r="I93" s="72"/>
      <c r="J93" s="73"/>
      <c r="K93" s="73"/>
      <c r="L93" s="73"/>
      <c r="M93" s="72"/>
      <c r="N93" s="72"/>
      <c r="O93" s="72"/>
      <c r="P93" s="72"/>
      <c r="Q93" s="72"/>
      <c r="R93" s="72"/>
    </row>
    <row r="94" spans="9:18" x14ac:dyDescent="0.2">
      <c r="I94" s="72"/>
      <c r="J94" s="73"/>
      <c r="K94" s="73"/>
      <c r="L94" s="73"/>
      <c r="M94" s="72"/>
      <c r="N94" s="72"/>
      <c r="O94" s="72"/>
      <c r="P94" s="72"/>
      <c r="Q94" s="72"/>
      <c r="R94" s="72"/>
    </row>
    <row r="95" spans="9:18" x14ac:dyDescent="0.2">
      <c r="I95" s="72"/>
      <c r="J95" s="73"/>
      <c r="K95" s="73"/>
      <c r="L95" s="73"/>
      <c r="M95" s="72"/>
      <c r="N95" s="72"/>
      <c r="O95" s="72"/>
      <c r="P95" s="72"/>
      <c r="Q95" s="72"/>
      <c r="R95" s="72"/>
    </row>
    <row r="96" spans="9:18" x14ac:dyDescent="0.2">
      <c r="I96" s="72"/>
      <c r="J96" s="73"/>
      <c r="K96" s="73"/>
      <c r="L96" s="73"/>
      <c r="M96" s="72"/>
      <c r="N96" s="72"/>
      <c r="O96" s="72"/>
      <c r="P96" s="72"/>
      <c r="Q96" s="72"/>
      <c r="R96" s="72"/>
    </row>
    <row r="97" spans="9:18" x14ac:dyDescent="0.2">
      <c r="I97" s="72"/>
      <c r="J97" s="73"/>
      <c r="K97" s="73"/>
      <c r="L97" s="73"/>
      <c r="M97" s="72"/>
      <c r="N97" s="72"/>
      <c r="O97" s="72"/>
      <c r="P97" s="72"/>
      <c r="Q97" s="72"/>
      <c r="R97" s="72"/>
    </row>
    <row r="98" spans="9:18" x14ac:dyDescent="0.2">
      <c r="I98" s="72"/>
      <c r="J98" s="73"/>
      <c r="K98" s="73"/>
      <c r="L98" s="73"/>
      <c r="M98" s="72"/>
      <c r="N98" s="72"/>
      <c r="O98" s="72"/>
      <c r="P98" s="72"/>
      <c r="Q98" s="72"/>
      <c r="R98" s="72"/>
    </row>
    <row r="99" spans="9:18" x14ac:dyDescent="0.2">
      <c r="I99" s="72"/>
      <c r="J99" s="73"/>
      <c r="K99" s="73"/>
      <c r="L99" s="73"/>
      <c r="M99" s="72"/>
      <c r="N99" s="72"/>
      <c r="O99" s="72"/>
      <c r="P99" s="72"/>
      <c r="Q99" s="72"/>
      <c r="R99" s="72"/>
    </row>
    <row r="100" spans="9:18" x14ac:dyDescent="0.2">
      <c r="I100" s="72"/>
      <c r="J100" s="73"/>
      <c r="K100" s="73"/>
      <c r="L100" s="73"/>
      <c r="M100" s="72"/>
      <c r="N100" s="72"/>
      <c r="O100" s="72"/>
      <c r="P100" s="72"/>
      <c r="Q100" s="72"/>
      <c r="R100" s="72"/>
    </row>
    <row r="101" spans="9:18" x14ac:dyDescent="0.2">
      <c r="I101" s="72"/>
      <c r="J101" s="73"/>
      <c r="K101" s="73"/>
      <c r="L101" s="73"/>
      <c r="M101" s="72"/>
      <c r="N101" s="72"/>
      <c r="O101" s="72"/>
      <c r="P101" s="72"/>
      <c r="Q101" s="72"/>
      <c r="R101" s="72"/>
    </row>
    <row r="102" spans="9:18" x14ac:dyDescent="0.2">
      <c r="I102" s="72"/>
      <c r="J102" s="73"/>
      <c r="K102" s="73"/>
      <c r="L102" s="73"/>
      <c r="M102" s="72"/>
      <c r="N102" s="72"/>
      <c r="O102" s="72"/>
      <c r="P102" s="72"/>
      <c r="Q102" s="72"/>
      <c r="R102" s="72"/>
    </row>
    <row r="103" spans="9:18" x14ac:dyDescent="0.2">
      <c r="I103" s="72"/>
      <c r="J103" s="73"/>
      <c r="K103" s="73"/>
      <c r="L103" s="73"/>
      <c r="M103" s="72"/>
      <c r="N103" s="72"/>
      <c r="O103" s="72"/>
      <c r="P103" s="72"/>
      <c r="Q103" s="72"/>
      <c r="R103" s="72"/>
    </row>
    <row r="104" spans="9:18" x14ac:dyDescent="0.2">
      <c r="I104" s="72"/>
      <c r="J104" s="73"/>
      <c r="K104" s="73"/>
      <c r="L104" s="73"/>
      <c r="M104" s="72"/>
      <c r="N104" s="72"/>
      <c r="O104" s="72"/>
      <c r="P104" s="72"/>
      <c r="Q104" s="72"/>
      <c r="R104" s="72"/>
    </row>
    <row r="105" spans="9:18" x14ac:dyDescent="0.2">
      <c r="I105" s="72"/>
      <c r="J105" s="73"/>
      <c r="K105" s="73"/>
      <c r="L105" s="73"/>
      <c r="M105" s="72"/>
      <c r="N105" s="72"/>
      <c r="O105" s="72"/>
      <c r="P105" s="72"/>
      <c r="Q105" s="72"/>
      <c r="R105" s="72"/>
    </row>
    <row r="106" spans="9:18" x14ac:dyDescent="0.2">
      <c r="I106" s="72"/>
      <c r="J106" s="73"/>
      <c r="K106" s="73"/>
      <c r="L106" s="73"/>
      <c r="M106" s="72"/>
      <c r="N106" s="72"/>
      <c r="O106" s="72"/>
      <c r="P106" s="72"/>
      <c r="Q106" s="72"/>
      <c r="R106" s="72"/>
    </row>
    <row r="107" spans="9:18" x14ac:dyDescent="0.2">
      <c r="I107" s="72"/>
      <c r="J107" s="73"/>
      <c r="K107" s="73"/>
      <c r="L107" s="73"/>
      <c r="M107" s="72"/>
      <c r="N107" s="72"/>
      <c r="O107" s="72"/>
      <c r="P107" s="72"/>
      <c r="Q107" s="72"/>
      <c r="R107" s="72"/>
    </row>
    <row r="108" spans="9:18" x14ac:dyDescent="0.2">
      <c r="I108" s="72"/>
      <c r="J108" s="73"/>
      <c r="K108" s="73"/>
      <c r="L108" s="73"/>
      <c r="M108" s="72"/>
      <c r="N108" s="72"/>
      <c r="O108" s="72"/>
      <c r="P108" s="72"/>
      <c r="Q108" s="72"/>
      <c r="R108" s="72"/>
    </row>
    <row r="109" spans="9:18" x14ac:dyDescent="0.2">
      <c r="I109" s="72"/>
      <c r="J109" s="73"/>
      <c r="K109" s="73"/>
      <c r="L109" s="73"/>
      <c r="M109" s="72"/>
      <c r="N109" s="72"/>
      <c r="O109" s="72"/>
      <c r="P109" s="72"/>
      <c r="Q109" s="72"/>
      <c r="R109" s="72"/>
    </row>
    <row r="110" spans="9:18" x14ac:dyDescent="0.2">
      <c r="I110" s="72"/>
      <c r="J110" s="73"/>
      <c r="K110" s="73"/>
      <c r="L110" s="73"/>
      <c r="M110" s="72"/>
      <c r="N110" s="72"/>
      <c r="O110" s="72"/>
      <c r="P110" s="72"/>
      <c r="Q110" s="72"/>
      <c r="R110" s="72"/>
    </row>
    <row r="111" spans="9:18" x14ac:dyDescent="0.2">
      <c r="I111" s="72"/>
      <c r="J111" s="73"/>
      <c r="K111" s="73"/>
      <c r="L111" s="73"/>
      <c r="M111" s="72"/>
      <c r="N111" s="72"/>
      <c r="O111" s="72"/>
      <c r="P111" s="72"/>
      <c r="Q111" s="72"/>
      <c r="R111" s="72"/>
    </row>
    <row r="112" spans="9:18" x14ac:dyDescent="0.2">
      <c r="I112" s="72"/>
      <c r="J112" s="73"/>
      <c r="K112" s="73"/>
      <c r="L112" s="73"/>
      <c r="M112" s="72"/>
      <c r="N112" s="72"/>
      <c r="O112" s="72"/>
      <c r="P112" s="72"/>
      <c r="Q112" s="72"/>
      <c r="R112" s="72"/>
    </row>
    <row r="113" spans="9:18" x14ac:dyDescent="0.2">
      <c r="I113" s="72"/>
      <c r="J113" s="73"/>
      <c r="K113" s="73"/>
      <c r="L113" s="73"/>
      <c r="M113" s="72"/>
      <c r="N113" s="72"/>
      <c r="O113" s="72"/>
      <c r="P113" s="72"/>
      <c r="Q113" s="72"/>
      <c r="R113" s="72"/>
    </row>
    <row r="114" spans="9:18" x14ac:dyDescent="0.2">
      <c r="I114" s="72"/>
      <c r="J114" s="73"/>
      <c r="K114" s="73"/>
      <c r="L114" s="73"/>
      <c r="M114" s="72"/>
      <c r="N114" s="72"/>
      <c r="O114" s="72"/>
      <c r="P114" s="72"/>
      <c r="Q114" s="72"/>
      <c r="R114" s="72"/>
    </row>
    <row r="115" spans="9:18" x14ac:dyDescent="0.2">
      <c r="I115" s="72"/>
      <c r="J115" s="73"/>
      <c r="K115" s="73"/>
      <c r="L115" s="73"/>
      <c r="M115" s="72"/>
      <c r="N115" s="72"/>
      <c r="O115" s="72"/>
      <c r="P115" s="72"/>
      <c r="Q115" s="72"/>
      <c r="R115" s="72"/>
    </row>
    <row r="116" spans="9:18" x14ac:dyDescent="0.2">
      <c r="I116" s="72"/>
      <c r="J116" s="73"/>
      <c r="K116" s="73"/>
      <c r="L116" s="73"/>
      <c r="M116" s="72"/>
      <c r="N116" s="72"/>
      <c r="O116" s="72"/>
      <c r="P116" s="72"/>
      <c r="Q116" s="72"/>
      <c r="R116" s="72"/>
    </row>
    <row r="117" spans="9:18" x14ac:dyDescent="0.2">
      <c r="I117" s="72"/>
      <c r="J117" s="73"/>
      <c r="K117" s="73"/>
      <c r="L117" s="73"/>
      <c r="M117" s="72"/>
      <c r="N117" s="72"/>
      <c r="O117" s="72"/>
      <c r="P117" s="72"/>
      <c r="Q117" s="72"/>
      <c r="R117" s="72"/>
    </row>
    <row r="118" spans="9:18" x14ac:dyDescent="0.2">
      <c r="I118" s="72"/>
      <c r="J118" s="73"/>
      <c r="K118" s="73"/>
      <c r="L118" s="73"/>
      <c r="M118" s="72"/>
      <c r="N118" s="72"/>
      <c r="O118" s="72"/>
      <c r="P118" s="72"/>
      <c r="Q118" s="72"/>
      <c r="R118" s="72"/>
    </row>
    <row r="119" spans="9:18" x14ac:dyDescent="0.2">
      <c r="I119" s="72"/>
      <c r="J119" s="73"/>
      <c r="K119" s="73"/>
      <c r="L119" s="73"/>
      <c r="M119" s="72"/>
      <c r="N119" s="72"/>
      <c r="O119" s="72"/>
      <c r="P119" s="72"/>
      <c r="Q119" s="72"/>
      <c r="R119" s="72"/>
    </row>
    <row r="120" spans="9:18" x14ac:dyDescent="0.2">
      <c r="I120" s="72"/>
      <c r="J120" s="73"/>
      <c r="K120" s="73"/>
      <c r="L120" s="73"/>
      <c r="M120" s="72"/>
      <c r="N120" s="72"/>
      <c r="O120" s="72"/>
      <c r="P120" s="72"/>
      <c r="Q120" s="72"/>
      <c r="R120" s="72"/>
    </row>
    <row r="121" spans="9:18" x14ac:dyDescent="0.2">
      <c r="I121" s="72"/>
      <c r="J121" s="73"/>
      <c r="K121" s="73"/>
      <c r="L121" s="73"/>
      <c r="M121" s="72"/>
      <c r="N121" s="72"/>
      <c r="O121" s="72"/>
      <c r="P121" s="72"/>
      <c r="Q121" s="72"/>
      <c r="R121" s="72"/>
    </row>
    <row r="122" spans="9:18" x14ac:dyDescent="0.2">
      <c r="I122" s="72"/>
      <c r="J122" s="73"/>
      <c r="K122" s="73"/>
      <c r="L122" s="73"/>
      <c r="M122" s="72"/>
      <c r="N122" s="72"/>
      <c r="O122" s="72"/>
      <c r="P122" s="72"/>
      <c r="Q122" s="72"/>
      <c r="R122" s="72"/>
    </row>
    <row r="123" spans="9:18" x14ac:dyDescent="0.2">
      <c r="I123" s="72"/>
      <c r="J123" s="73"/>
      <c r="K123" s="73"/>
      <c r="L123" s="73"/>
      <c r="M123" s="72"/>
      <c r="N123" s="72"/>
      <c r="O123" s="72"/>
      <c r="P123" s="72"/>
      <c r="Q123" s="72"/>
      <c r="R123" s="72"/>
    </row>
    <row r="124" spans="9:18" x14ac:dyDescent="0.2">
      <c r="I124" s="72"/>
      <c r="J124" s="73"/>
      <c r="K124" s="73"/>
      <c r="L124" s="73"/>
      <c r="M124" s="72"/>
      <c r="N124" s="72"/>
      <c r="O124" s="72"/>
      <c r="P124" s="72"/>
      <c r="Q124" s="72"/>
      <c r="R124" s="72"/>
    </row>
    <row r="125" spans="9:18" x14ac:dyDescent="0.2">
      <c r="I125" s="72"/>
      <c r="J125" s="73"/>
      <c r="K125" s="73"/>
      <c r="L125" s="73"/>
      <c r="M125" s="72"/>
      <c r="N125" s="72"/>
      <c r="O125" s="72"/>
      <c r="P125" s="72"/>
      <c r="Q125" s="72"/>
      <c r="R125" s="72"/>
    </row>
    <row r="126" spans="9:18" x14ac:dyDescent="0.2">
      <c r="I126" s="72"/>
      <c r="J126" s="73"/>
      <c r="K126" s="73"/>
      <c r="L126" s="73"/>
      <c r="M126" s="72"/>
      <c r="N126" s="72"/>
      <c r="O126" s="72"/>
      <c r="P126" s="72"/>
      <c r="Q126" s="72"/>
      <c r="R126" s="72"/>
    </row>
    <row r="127" spans="9:18" x14ac:dyDescent="0.2">
      <c r="I127" s="72"/>
      <c r="J127" s="73"/>
      <c r="K127" s="73"/>
      <c r="L127" s="73"/>
      <c r="M127" s="72"/>
      <c r="N127" s="72"/>
      <c r="O127" s="72"/>
      <c r="P127" s="72"/>
      <c r="Q127" s="72"/>
      <c r="R127" s="72"/>
    </row>
    <row r="128" spans="9:18" x14ac:dyDescent="0.2">
      <c r="I128" s="72"/>
      <c r="J128" s="73"/>
      <c r="K128" s="73"/>
      <c r="L128" s="73"/>
      <c r="M128" s="72"/>
      <c r="N128" s="72"/>
      <c r="O128" s="72"/>
      <c r="P128" s="72"/>
      <c r="Q128" s="72"/>
      <c r="R128" s="72"/>
    </row>
    <row r="129" spans="9:18" x14ac:dyDescent="0.2">
      <c r="I129" s="72"/>
      <c r="J129" s="73"/>
      <c r="K129" s="73"/>
      <c r="L129" s="73"/>
      <c r="M129" s="72"/>
      <c r="N129" s="72"/>
      <c r="O129" s="72"/>
      <c r="P129" s="72"/>
      <c r="Q129" s="72"/>
      <c r="R129" s="72"/>
    </row>
    <row r="130" spans="9:18" x14ac:dyDescent="0.2">
      <c r="I130" s="72"/>
      <c r="J130" s="73"/>
      <c r="K130" s="73"/>
      <c r="L130" s="73"/>
      <c r="M130" s="72"/>
      <c r="N130" s="72"/>
      <c r="O130" s="72"/>
      <c r="P130" s="72"/>
      <c r="Q130" s="72"/>
      <c r="R130" s="72"/>
    </row>
    <row r="131" spans="9:18" x14ac:dyDescent="0.2">
      <c r="I131" s="72"/>
      <c r="J131" s="73"/>
      <c r="K131" s="73"/>
      <c r="L131" s="73"/>
      <c r="M131" s="72"/>
      <c r="N131" s="72"/>
      <c r="O131" s="72"/>
      <c r="P131" s="72"/>
      <c r="Q131" s="72"/>
      <c r="R131" s="72"/>
    </row>
    <row r="132" spans="9:18" x14ac:dyDescent="0.2">
      <c r="I132" s="72"/>
      <c r="J132" s="73"/>
      <c r="K132" s="73"/>
      <c r="L132" s="73"/>
      <c r="M132" s="72"/>
      <c r="N132" s="72"/>
      <c r="O132" s="72"/>
      <c r="P132" s="72"/>
      <c r="Q132" s="72"/>
      <c r="R132" s="72"/>
    </row>
    <row r="133" spans="9:18" x14ac:dyDescent="0.2">
      <c r="I133" s="72"/>
      <c r="J133" s="73"/>
      <c r="K133" s="73"/>
      <c r="L133" s="73"/>
      <c r="M133" s="72"/>
      <c r="N133" s="72"/>
      <c r="O133" s="72"/>
      <c r="P133" s="72"/>
      <c r="Q133" s="72"/>
      <c r="R133" s="72"/>
    </row>
    <row r="134" spans="9:18" x14ac:dyDescent="0.2">
      <c r="I134" s="72"/>
      <c r="J134" s="73"/>
      <c r="K134" s="73"/>
      <c r="L134" s="73"/>
      <c r="M134" s="72"/>
      <c r="N134" s="72"/>
      <c r="O134" s="72"/>
      <c r="P134" s="72"/>
      <c r="Q134" s="72"/>
      <c r="R134" s="72"/>
    </row>
    <row r="135" spans="9:18" x14ac:dyDescent="0.2">
      <c r="I135" s="72"/>
      <c r="J135" s="73"/>
      <c r="K135" s="73"/>
      <c r="L135" s="73"/>
      <c r="M135" s="72"/>
      <c r="N135" s="72"/>
      <c r="O135" s="72"/>
      <c r="P135" s="72"/>
      <c r="Q135" s="72"/>
      <c r="R135" s="72"/>
    </row>
    <row r="136" spans="9:18" x14ac:dyDescent="0.2">
      <c r="I136" s="72"/>
      <c r="J136" s="73"/>
      <c r="K136" s="73"/>
      <c r="L136" s="73"/>
      <c r="M136" s="72"/>
      <c r="N136" s="72"/>
      <c r="O136" s="72"/>
      <c r="P136" s="72"/>
      <c r="Q136" s="72"/>
      <c r="R136" s="72"/>
    </row>
    <row r="137" spans="9:18" x14ac:dyDescent="0.2">
      <c r="I137" s="72"/>
      <c r="J137" s="73"/>
      <c r="K137" s="73"/>
      <c r="L137" s="73"/>
      <c r="M137" s="72"/>
      <c r="N137" s="72"/>
      <c r="O137" s="72"/>
      <c r="P137" s="72"/>
      <c r="Q137" s="72"/>
      <c r="R137" s="72"/>
    </row>
    <row r="138" spans="9:18" x14ac:dyDescent="0.2">
      <c r="I138" s="72"/>
      <c r="J138" s="73"/>
      <c r="K138" s="73"/>
      <c r="L138" s="73"/>
      <c r="M138" s="72"/>
      <c r="N138" s="72"/>
      <c r="O138" s="72"/>
      <c r="P138" s="72"/>
      <c r="Q138" s="72"/>
      <c r="R138" s="72"/>
    </row>
    <row r="139" spans="9:18" x14ac:dyDescent="0.2">
      <c r="I139" s="72"/>
      <c r="J139" s="73"/>
      <c r="K139" s="73"/>
      <c r="L139" s="73"/>
      <c r="M139" s="72"/>
      <c r="N139" s="72"/>
      <c r="O139" s="72"/>
      <c r="P139" s="72"/>
      <c r="Q139" s="72"/>
      <c r="R139" s="72"/>
    </row>
    <row r="140" spans="9:18" x14ac:dyDescent="0.2">
      <c r="I140" s="72"/>
      <c r="J140" s="73"/>
      <c r="K140" s="73"/>
      <c r="L140" s="73"/>
      <c r="M140" s="72"/>
      <c r="N140" s="72"/>
      <c r="O140" s="72"/>
      <c r="P140" s="72"/>
      <c r="Q140" s="72"/>
      <c r="R140" s="72"/>
    </row>
    <row r="141" spans="9:18" x14ac:dyDescent="0.2">
      <c r="I141" s="72"/>
      <c r="J141" s="73"/>
      <c r="K141" s="73"/>
      <c r="L141" s="73"/>
      <c r="M141" s="72"/>
      <c r="N141" s="72"/>
      <c r="O141" s="72"/>
      <c r="P141" s="72"/>
      <c r="Q141" s="72"/>
      <c r="R141" s="72"/>
    </row>
    <row r="142" spans="9:18" x14ac:dyDescent="0.2">
      <c r="I142" s="72"/>
      <c r="J142" s="73"/>
      <c r="K142" s="73"/>
      <c r="L142" s="73"/>
      <c r="M142" s="72"/>
      <c r="N142" s="72"/>
      <c r="O142" s="72"/>
      <c r="P142" s="72"/>
      <c r="Q142" s="72"/>
      <c r="R142" s="72"/>
    </row>
    <row r="143" spans="9:18" x14ac:dyDescent="0.2">
      <c r="I143" s="72"/>
      <c r="J143" s="73"/>
      <c r="K143" s="73"/>
      <c r="L143" s="73"/>
      <c r="M143" s="72"/>
      <c r="N143" s="72"/>
      <c r="O143" s="72"/>
      <c r="P143" s="72"/>
      <c r="Q143" s="72"/>
      <c r="R143" s="72"/>
    </row>
    <row r="144" spans="9:18" x14ac:dyDescent="0.2">
      <c r="I144" s="72"/>
      <c r="J144" s="73"/>
      <c r="K144" s="73"/>
      <c r="L144" s="73"/>
      <c r="M144" s="72"/>
      <c r="N144" s="72"/>
      <c r="O144" s="72"/>
      <c r="P144" s="72"/>
      <c r="Q144" s="72"/>
      <c r="R144" s="72"/>
    </row>
    <row r="145" spans="9:18" x14ac:dyDescent="0.2">
      <c r="I145" s="72"/>
      <c r="J145" s="73"/>
      <c r="K145" s="73"/>
      <c r="L145" s="73"/>
      <c r="M145" s="72"/>
      <c r="N145" s="72"/>
      <c r="O145" s="72"/>
      <c r="P145" s="72"/>
      <c r="Q145" s="72"/>
      <c r="R145" s="72"/>
    </row>
    <row r="146" spans="9:18" x14ac:dyDescent="0.2">
      <c r="I146" s="72"/>
      <c r="J146" s="73"/>
      <c r="K146" s="73"/>
      <c r="L146" s="73"/>
      <c r="M146" s="72"/>
      <c r="N146" s="72"/>
      <c r="O146" s="72"/>
      <c r="P146" s="72"/>
      <c r="Q146" s="72"/>
      <c r="R146" s="72"/>
    </row>
    <row r="147" spans="9:18" x14ac:dyDescent="0.2">
      <c r="I147" s="72"/>
      <c r="J147" s="73"/>
      <c r="K147" s="73"/>
      <c r="L147" s="73"/>
      <c r="M147" s="72"/>
      <c r="N147" s="72"/>
      <c r="O147" s="72"/>
      <c r="P147" s="72"/>
      <c r="Q147" s="72"/>
      <c r="R147" s="72"/>
    </row>
    <row r="148" spans="9:18" x14ac:dyDescent="0.2">
      <c r="I148" s="72"/>
      <c r="J148" s="73"/>
      <c r="K148" s="73"/>
      <c r="L148" s="73"/>
      <c r="M148" s="72"/>
      <c r="N148" s="72"/>
      <c r="O148" s="72"/>
      <c r="P148" s="72"/>
      <c r="Q148" s="72"/>
      <c r="R148" s="72"/>
    </row>
    <row r="149" spans="9:18" x14ac:dyDescent="0.2">
      <c r="I149" s="72"/>
      <c r="J149" s="73"/>
      <c r="K149" s="73"/>
      <c r="L149" s="73"/>
      <c r="M149" s="72"/>
      <c r="N149" s="72"/>
      <c r="O149" s="72"/>
      <c r="P149" s="72"/>
      <c r="Q149" s="72"/>
      <c r="R149" s="72"/>
    </row>
    <row r="150" spans="9:18" x14ac:dyDescent="0.2">
      <c r="I150" s="72"/>
      <c r="J150" s="73"/>
      <c r="K150" s="73"/>
      <c r="L150" s="73"/>
      <c r="M150" s="72"/>
      <c r="N150" s="72"/>
      <c r="O150" s="72"/>
      <c r="P150" s="72"/>
      <c r="Q150" s="72"/>
      <c r="R150" s="72"/>
    </row>
    <row r="151" spans="9:18" x14ac:dyDescent="0.2">
      <c r="I151" s="72"/>
      <c r="J151" s="73"/>
      <c r="K151" s="73"/>
      <c r="L151" s="73"/>
      <c r="M151" s="72"/>
      <c r="N151" s="72"/>
      <c r="O151" s="72"/>
      <c r="P151" s="72"/>
      <c r="Q151" s="72"/>
      <c r="R151" s="72"/>
    </row>
    <row r="152" spans="9:18" x14ac:dyDescent="0.2">
      <c r="I152" s="72"/>
      <c r="J152" s="73"/>
      <c r="K152" s="73"/>
      <c r="L152" s="73"/>
      <c r="M152" s="72"/>
      <c r="N152" s="72"/>
      <c r="O152" s="72"/>
      <c r="P152" s="72"/>
      <c r="Q152" s="72"/>
      <c r="R152" s="72"/>
    </row>
    <row r="153" spans="9:18" x14ac:dyDescent="0.2">
      <c r="I153" s="72"/>
      <c r="J153" s="73"/>
      <c r="K153" s="73"/>
      <c r="L153" s="73"/>
      <c r="M153" s="72"/>
      <c r="N153" s="72"/>
      <c r="O153" s="72"/>
      <c r="P153" s="72"/>
      <c r="Q153" s="72"/>
      <c r="R153" s="72"/>
    </row>
    <row r="154" spans="9:18" x14ac:dyDescent="0.2">
      <c r="I154" s="72"/>
      <c r="J154" s="73"/>
      <c r="K154" s="73"/>
      <c r="L154" s="73"/>
      <c r="M154" s="72"/>
      <c r="N154" s="72"/>
      <c r="O154" s="72"/>
      <c r="P154" s="72"/>
      <c r="Q154" s="72"/>
      <c r="R154" s="72"/>
    </row>
    <row r="155" spans="9:18" x14ac:dyDescent="0.2">
      <c r="I155" s="72"/>
      <c r="J155" s="73"/>
      <c r="K155" s="73"/>
      <c r="L155" s="73"/>
      <c r="M155" s="72"/>
      <c r="N155" s="72"/>
      <c r="O155" s="72"/>
      <c r="P155" s="72"/>
      <c r="Q155" s="72"/>
      <c r="R155" s="72"/>
    </row>
    <row r="156" spans="9:18" x14ac:dyDescent="0.2">
      <c r="I156" s="72"/>
      <c r="J156" s="73"/>
      <c r="K156" s="73"/>
      <c r="L156" s="73"/>
      <c r="M156" s="72"/>
      <c r="N156" s="72"/>
      <c r="O156" s="72"/>
      <c r="P156" s="72"/>
      <c r="Q156" s="72"/>
      <c r="R156" s="72"/>
    </row>
    <row r="157" spans="9:18" x14ac:dyDescent="0.2">
      <c r="I157" s="72"/>
      <c r="J157" s="73"/>
      <c r="K157" s="73"/>
      <c r="L157" s="73"/>
      <c r="M157" s="72"/>
      <c r="N157" s="72"/>
      <c r="O157" s="72"/>
      <c r="P157" s="72"/>
      <c r="Q157" s="72"/>
      <c r="R157" s="72"/>
    </row>
    <row r="158" spans="9:18" x14ac:dyDescent="0.2">
      <c r="I158" s="72"/>
      <c r="J158" s="73"/>
      <c r="K158" s="73"/>
      <c r="L158" s="73"/>
      <c r="M158" s="72"/>
      <c r="N158" s="72"/>
      <c r="O158" s="72"/>
      <c r="P158" s="72"/>
      <c r="Q158" s="72"/>
      <c r="R158" s="72"/>
    </row>
    <row r="159" spans="9:18" x14ac:dyDescent="0.2">
      <c r="I159" s="72"/>
      <c r="J159" s="73"/>
      <c r="K159" s="73"/>
      <c r="L159" s="73"/>
      <c r="M159" s="72"/>
      <c r="N159" s="72"/>
      <c r="O159" s="72"/>
      <c r="P159" s="72"/>
      <c r="Q159" s="72"/>
      <c r="R159" s="72"/>
    </row>
    <row r="160" spans="9:18" x14ac:dyDescent="0.2">
      <c r="I160" s="72"/>
      <c r="J160" s="73"/>
      <c r="K160" s="73"/>
      <c r="L160" s="73"/>
      <c r="M160" s="72"/>
      <c r="N160" s="72"/>
      <c r="O160" s="72"/>
      <c r="P160" s="72"/>
      <c r="Q160" s="72"/>
      <c r="R160" s="72"/>
    </row>
    <row r="161" spans="9:18" x14ac:dyDescent="0.2">
      <c r="I161" s="72"/>
      <c r="J161" s="73"/>
      <c r="K161" s="73"/>
      <c r="L161" s="73"/>
      <c r="M161" s="72"/>
      <c r="N161" s="72"/>
      <c r="O161" s="72"/>
      <c r="P161" s="72"/>
      <c r="Q161" s="72"/>
      <c r="R161" s="72"/>
    </row>
    <row r="162" spans="9:18" x14ac:dyDescent="0.2">
      <c r="I162" s="72"/>
      <c r="J162" s="73"/>
      <c r="K162" s="73"/>
      <c r="L162" s="73"/>
      <c r="M162" s="72"/>
      <c r="N162" s="72"/>
      <c r="O162" s="72"/>
      <c r="P162" s="72"/>
      <c r="Q162" s="72"/>
      <c r="R162" s="72"/>
    </row>
    <row r="163" spans="9:18" x14ac:dyDescent="0.2">
      <c r="I163" s="72"/>
      <c r="J163" s="72"/>
      <c r="K163" s="72"/>
      <c r="L163" s="72"/>
      <c r="M163" s="72"/>
      <c r="N163" s="72"/>
      <c r="O163" s="72"/>
      <c r="P163" s="72"/>
      <c r="Q163" s="72"/>
      <c r="R163" s="72"/>
    </row>
  </sheetData>
  <sheetProtection sheet="1" objects="1" scenarios="1"/>
  <mergeCells count="1">
    <mergeCell ref="A1:I1"/>
  </mergeCells>
  <phoneticPr fontId="1" type="noConversion"/>
  <pageMargins left="0.75" right="0.75" top="1" bottom="1" header="0.5" footer="0.5"/>
  <pageSetup scale="57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44"/>
  <sheetViews>
    <sheetView workbookViewId="0">
      <selection activeCell="O36" sqref="O36"/>
    </sheetView>
  </sheetViews>
  <sheetFormatPr defaultRowHeight="12.75" x14ac:dyDescent="0.2"/>
  <cols>
    <col min="1" max="1" width="7.28515625" style="16" customWidth="1"/>
    <col min="2" max="2" width="10.7109375" customWidth="1"/>
    <col min="4" max="4" width="12.85546875" customWidth="1"/>
    <col min="5" max="5" width="10.7109375" customWidth="1"/>
    <col min="6" max="6" width="2.28515625" style="25" customWidth="1"/>
    <col min="7" max="7" width="10.7109375" customWidth="1"/>
    <col min="8" max="8" width="4.28515625" customWidth="1"/>
    <col min="9" max="9" width="7.7109375" customWidth="1"/>
    <col min="10" max="10" width="10.7109375" customWidth="1"/>
    <col min="11" max="11" width="2.28515625" style="25" customWidth="1"/>
    <col min="12" max="12" width="10.7109375" customWidth="1"/>
    <col min="13" max="13" width="4.28515625" customWidth="1"/>
    <col min="14" max="14" width="7.7109375" customWidth="1"/>
    <col min="15" max="15" width="10.7109375" customWidth="1"/>
    <col min="16" max="16" width="2.28515625" style="25" customWidth="1"/>
    <col min="17" max="17" width="10.7109375" customWidth="1"/>
    <col min="18" max="18" width="4.28515625" customWidth="1"/>
    <col min="19" max="19" width="7.7109375" customWidth="1"/>
    <col min="20" max="20" width="10.7109375" customWidth="1"/>
    <col min="21" max="21" width="2.28515625" style="25" customWidth="1"/>
    <col min="22" max="22" width="10.7109375" customWidth="1"/>
  </cols>
  <sheetData>
    <row r="1" spans="1:22" ht="18" x14ac:dyDescent="0.25">
      <c r="A1" s="88" t="s">
        <v>12</v>
      </c>
      <c r="B1" s="90"/>
      <c r="C1" s="90"/>
      <c r="D1" s="90"/>
      <c r="E1" s="90"/>
      <c r="F1" s="90"/>
      <c r="G1" s="90"/>
      <c r="H1" s="90"/>
      <c r="I1" s="90"/>
      <c r="K1"/>
      <c r="P1"/>
      <c r="U1"/>
    </row>
    <row r="2" spans="1:22" x14ac:dyDescent="0.2">
      <c r="A2" s="47"/>
      <c r="D2" s="49" t="s">
        <v>73</v>
      </c>
      <c r="E2" s="50" t="s">
        <v>93</v>
      </c>
      <c r="F2" s="61"/>
      <c r="G2" s="48"/>
      <c r="H2" s="48"/>
      <c r="I2" s="48"/>
      <c r="K2" s="61"/>
      <c r="P2" s="61"/>
      <c r="U2" s="61"/>
    </row>
    <row r="3" spans="1:22" x14ac:dyDescent="0.2">
      <c r="A3" s="51"/>
      <c r="D3" s="46"/>
      <c r="E3" s="52" t="s">
        <v>76</v>
      </c>
      <c r="F3" s="61"/>
      <c r="G3" s="48"/>
      <c r="H3" s="48"/>
      <c r="I3" s="48"/>
      <c r="K3" s="61"/>
      <c r="P3" s="61"/>
      <c r="U3" s="61"/>
    </row>
    <row r="4" spans="1:22" x14ac:dyDescent="0.2">
      <c r="A4" s="51"/>
      <c r="D4" s="46"/>
      <c r="E4" s="50" t="s">
        <v>94</v>
      </c>
      <c r="F4" s="27"/>
      <c r="G4" s="26"/>
      <c r="H4" s="26"/>
      <c r="I4" s="26"/>
      <c r="K4" s="27"/>
      <c r="P4" s="27"/>
      <c r="U4" s="27"/>
    </row>
    <row r="5" spans="1:22" x14ac:dyDescent="0.2">
      <c r="A5" s="51"/>
      <c r="D5" s="46"/>
      <c r="E5" s="27" t="s">
        <v>75</v>
      </c>
      <c r="F5" s="27"/>
      <c r="G5" s="26"/>
      <c r="H5" s="26"/>
      <c r="I5" s="26"/>
      <c r="K5" s="27"/>
      <c r="P5" s="27"/>
      <c r="U5" s="27"/>
    </row>
    <row r="6" spans="1:22" x14ac:dyDescent="0.2">
      <c r="A6" s="51"/>
      <c r="D6" s="46"/>
      <c r="E6" s="27" t="s">
        <v>95</v>
      </c>
      <c r="F6" s="27"/>
      <c r="G6" s="46"/>
      <c r="H6" s="46"/>
      <c r="I6" s="46"/>
      <c r="K6" s="27"/>
      <c r="P6" s="27"/>
      <c r="U6" s="27"/>
    </row>
    <row r="7" spans="1:22" x14ac:dyDescent="0.2">
      <c r="A7" s="51"/>
      <c r="D7" s="68"/>
      <c r="E7" s="27" t="s">
        <v>91</v>
      </c>
      <c r="F7" s="27"/>
      <c r="G7" s="68"/>
      <c r="H7" s="68"/>
      <c r="I7" s="68"/>
      <c r="K7" s="27"/>
      <c r="P7" s="27"/>
      <c r="U7" s="27"/>
    </row>
    <row r="8" spans="1:22" x14ac:dyDescent="0.2">
      <c r="A8" s="51"/>
      <c r="D8" s="46"/>
      <c r="E8" s="27" t="s">
        <v>77</v>
      </c>
      <c r="F8" s="27"/>
      <c r="G8" s="46"/>
      <c r="H8" s="46"/>
      <c r="I8" s="46"/>
      <c r="K8" s="27"/>
      <c r="P8" s="27"/>
      <c r="U8" s="27"/>
    </row>
    <row r="9" spans="1:22" x14ac:dyDescent="0.2">
      <c r="B9" s="49" t="s">
        <v>72</v>
      </c>
      <c r="C9" s="43"/>
      <c r="F9" s="27"/>
      <c r="K9" s="27"/>
      <c r="P9" s="27"/>
      <c r="U9" s="27"/>
    </row>
    <row r="10" spans="1:22" s="3" customFormat="1" x14ac:dyDescent="0.2">
      <c r="A10" s="17" t="s">
        <v>44</v>
      </c>
      <c r="B10" s="22" t="s">
        <v>0</v>
      </c>
      <c r="C10" s="23" t="s">
        <v>1</v>
      </c>
      <c r="E10" s="3" t="s">
        <v>2</v>
      </c>
      <c r="F10" s="27"/>
      <c r="J10" s="3" t="s">
        <v>3</v>
      </c>
      <c r="K10" s="27"/>
      <c r="O10" s="3" t="s">
        <v>4</v>
      </c>
      <c r="P10" s="27"/>
      <c r="T10" s="3" t="s">
        <v>5</v>
      </c>
      <c r="U10" s="27"/>
    </row>
    <row r="11" spans="1:22" s="3" customFormat="1" x14ac:dyDescent="0.2">
      <c r="A11" s="18" t="s">
        <v>43</v>
      </c>
      <c r="B11" s="44">
        <f t="shared" ref="B11:B34" si="0">B12-14</f>
        <v>-350</v>
      </c>
      <c r="C11" s="42"/>
      <c r="E11" s="2">
        <f>E13-13</f>
        <v>-363</v>
      </c>
      <c r="F11" s="27" t="s">
        <v>84</v>
      </c>
      <c r="G11" s="2">
        <f>E19-7</f>
        <v>-273</v>
      </c>
      <c r="J11" s="2">
        <f>G11+1</f>
        <v>-272</v>
      </c>
      <c r="K11" s="27" t="s">
        <v>84</v>
      </c>
      <c r="L11" s="2">
        <f>J19</f>
        <v>-182</v>
      </c>
      <c r="O11" s="2">
        <f>J19+1</f>
        <v>-181</v>
      </c>
      <c r="P11" s="27" t="s">
        <v>84</v>
      </c>
      <c r="Q11" s="2">
        <f>O19-7</f>
        <v>-91</v>
      </c>
      <c r="T11" s="2">
        <f>Q11+1</f>
        <v>-90</v>
      </c>
      <c r="U11" s="27" t="s">
        <v>84</v>
      </c>
      <c r="V11" s="2">
        <f>T19</f>
        <v>0</v>
      </c>
    </row>
    <row r="12" spans="1:22" s="3" customFormat="1" x14ac:dyDescent="0.2">
      <c r="A12" s="17" t="s">
        <v>45</v>
      </c>
      <c r="B12" s="44">
        <f t="shared" si="0"/>
        <v>-336</v>
      </c>
      <c r="C12" s="42"/>
      <c r="E12" s="3" t="s">
        <v>0</v>
      </c>
      <c r="F12" s="27"/>
      <c r="G12" s="3" t="s">
        <v>1</v>
      </c>
      <c r="I12" s="6"/>
      <c r="J12" s="3" t="s">
        <v>0</v>
      </c>
      <c r="K12" s="27"/>
      <c r="L12" s="3" t="s">
        <v>1</v>
      </c>
      <c r="O12" s="3" t="s">
        <v>0</v>
      </c>
      <c r="P12" s="27"/>
      <c r="Q12" s="3" t="s">
        <v>1</v>
      </c>
      <c r="T12" s="3" t="s">
        <v>0</v>
      </c>
      <c r="U12" s="27"/>
      <c r="V12" s="3" t="s">
        <v>1</v>
      </c>
    </row>
    <row r="13" spans="1:22" s="3" customFormat="1" x14ac:dyDescent="0.2">
      <c r="A13" s="17" t="s">
        <v>46</v>
      </c>
      <c r="B13" s="44">
        <f t="shared" si="0"/>
        <v>-322</v>
      </c>
      <c r="C13" s="42"/>
      <c r="D13" s="6" t="s">
        <v>43</v>
      </c>
      <c r="E13" s="2">
        <f>B11</f>
        <v>-350</v>
      </c>
      <c r="F13" s="33"/>
      <c r="G13" s="5">
        <f t="shared" ref="G13:G18" si="1">C11</f>
        <v>0</v>
      </c>
      <c r="H13" s="5"/>
      <c r="I13" s="6">
        <v>14</v>
      </c>
      <c r="J13" s="2">
        <f>B17</f>
        <v>-266</v>
      </c>
      <c r="K13" s="33"/>
      <c r="L13" s="5">
        <f>C17/2</f>
        <v>0</v>
      </c>
      <c r="M13" s="5"/>
      <c r="N13" s="19" t="s">
        <v>57</v>
      </c>
      <c r="O13" s="2">
        <f>B24</f>
        <v>-168</v>
      </c>
      <c r="P13" s="33"/>
      <c r="Q13" s="5">
        <f t="shared" ref="Q13:Q18" si="2">C24</f>
        <v>0</v>
      </c>
      <c r="R13" s="5"/>
      <c r="S13" s="19">
        <v>39</v>
      </c>
      <c r="T13" s="2">
        <f>B30</f>
        <v>-84</v>
      </c>
      <c r="U13" s="33"/>
      <c r="V13" s="5">
        <f>C30/2</f>
        <v>0</v>
      </c>
    </row>
    <row r="14" spans="1:22" s="3" customFormat="1" x14ac:dyDescent="0.2">
      <c r="A14" s="17" t="s">
        <v>47</v>
      </c>
      <c r="B14" s="44">
        <f t="shared" si="0"/>
        <v>-308</v>
      </c>
      <c r="C14" s="42"/>
      <c r="D14" s="6" t="s">
        <v>45</v>
      </c>
      <c r="E14" s="2">
        <f t="shared" ref="E14:E19" si="3">B12</f>
        <v>-336</v>
      </c>
      <c r="F14" s="33"/>
      <c r="G14" s="5">
        <f t="shared" si="1"/>
        <v>0</v>
      </c>
      <c r="H14" s="5"/>
      <c r="I14" s="6" t="s">
        <v>51</v>
      </c>
      <c r="J14" s="2">
        <f t="shared" ref="J14:J19" si="4">B18</f>
        <v>-252</v>
      </c>
      <c r="K14" s="33"/>
      <c r="L14" s="5">
        <f t="shared" ref="L14:L19" si="5">C18</f>
        <v>0</v>
      </c>
      <c r="M14" s="5"/>
      <c r="N14" s="19" t="s">
        <v>58</v>
      </c>
      <c r="O14" s="2">
        <f t="shared" ref="O14:O19" si="6">B25</f>
        <v>-154</v>
      </c>
      <c r="P14" s="33"/>
      <c r="Q14" s="5">
        <f t="shared" si="2"/>
        <v>0</v>
      </c>
      <c r="R14" s="5"/>
      <c r="S14" s="20" t="s">
        <v>64</v>
      </c>
      <c r="T14" s="2">
        <f t="shared" ref="T14:T19" si="7">B31</f>
        <v>-70</v>
      </c>
      <c r="U14" s="33"/>
      <c r="V14" s="5">
        <f t="shared" ref="V14:V19" si="8">C31</f>
        <v>0</v>
      </c>
    </row>
    <row r="15" spans="1:22" s="3" customFormat="1" x14ac:dyDescent="0.2">
      <c r="A15" s="18" t="s">
        <v>48</v>
      </c>
      <c r="B15" s="44">
        <f t="shared" si="0"/>
        <v>-294</v>
      </c>
      <c r="C15" s="42"/>
      <c r="D15" s="6" t="s">
        <v>46</v>
      </c>
      <c r="E15" s="2">
        <f t="shared" si="3"/>
        <v>-322</v>
      </c>
      <c r="F15" s="33"/>
      <c r="G15" s="5">
        <f t="shared" si="1"/>
        <v>0</v>
      </c>
      <c r="H15" s="5"/>
      <c r="I15" s="6" t="s">
        <v>52</v>
      </c>
      <c r="J15" s="2">
        <f t="shared" si="4"/>
        <v>-238</v>
      </c>
      <c r="K15" s="33"/>
      <c r="L15" s="5">
        <f t="shared" si="5"/>
        <v>0</v>
      </c>
      <c r="M15" s="5"/>
      <c r="N15" s="19" t="s">
        <v>59</v>
      </c>
      <c r="O15" s="2">
        <f t="shared" si="6"/>
        <v>-140</v>
      </c>
      <c r="P15" s="33"/>
      <c r="Q15" s="5">
        <f t="shared" si="2"/>
        <v>0</v>
      </c>
      <c r="R15" s="5"/>
      <c r="S15" s="19" t="s">
        <v>65</v>
      </c>
      <c r="T15" s="2">
        <f t="shared" si="7"/>
        <v>-56</v>
      </c>
      <c r="U15" s="33"/>
      <c r="V15" s="5">
        <f t="shared" si="8"/>
        <v>0</v>
      </c>
    </row>
    <row r="16" spans="1:22" s="3" customFormat="1" x14ac:dyDescent="0.2">
      <c r="A16" s="17" t="s">
        <v>49</v>
      </c>
      <c r="B16" s="44">
        <f t="shared" si="0"/>
        <v>-280</v>
      </c>
      <c r="C16" s="42"/>
      <c r="D16" s="6" t="s">
        <v>47</v>
      </c>
      <c r="E16" s="2">
        <f t="shared" si="3"/>
        <v>-308</v>
      </c>
      <c r="F16" s="33"/>
      <c r="G16" s="5">
        <f t="shared" si="1"/>
        <v>0</v>
      </c>
      <c r="H16" s="5"/>
      <c r="I16" s="6" t="s">
        <v>53</v>
      </c>
      <c r="J16" s="2">
        <f t="shared" si="4"/>
        <v>-224</v>
      </c>
      <c r="K16" s="33"/>
      <c r="L16" s="5">
        <f t="shared" si="5"/>
        <v>0</v>
      </c>
      <c r="M16" s="5"/>
      <c r="N16" s="20" t="s">
        <v>60</v>
      </c>
      <c r="O16" s="2">
        <f t="shared" si="6"/>
        <v>-126</v>
      </c>
      <c r="P16" s="33"/>
      <c r="Q16" s="5">
        <f t="shared" si="2"/>
        <v>0</v>
      </c>
      <c r="R16" s="5"/>
      <c r="S16" s="19" t="s">
        <v>66</v>
      </c>
      <c r="T16" s="2">
        <f t="shared" si="7"/>
        <v>-42</v>
      </c>
      <c r="U16" s="33"/>
      <c r="V16" s="5">
        <f t="shared" si="8"/>
        <v>0</v>
      </c>
    </row>
    <row r="17" spans="1:22" s="3" customFormat="1" x14ac:dyDescent="0.2">
      <c r="A17" s="17" t="s">
        <v>50</v>
      </c>
      <c r="B17" s="44">
        <f t="shared" si="0"/>
        <v>-266</v>
      </c>
      <c r="C17" s="42"/>
      <c r="D17" s="6" t="s">
        <v>48</v>
      </c>
      <c r="E17" s="2">
        <f t="shared" si="3"/>
        <v>-294</v>
      </c>
      <c r="F17" s="33"/>
      <c r="G17" s="5">
        <f t="shared" si="1"/>
        <v>0</v>
      </c>
      <c r="H17" s="5"/>
      <c r="I17" s="6" t="s">
        <v>54</v>
      </c>
      <c r="J17" s="2">
        <f t="shared" si="4"/>
        <v>-210</v>
      </c>
      <c r="K17" s="33"/>
      <c r="L17" s="5">
        <f t="shared" si="5"/>
        <v>0</v>
      </c>
      <c r="M17" s="5"/>
      <c r="N17" s="19" t="s">
        <v>61</v>
      </c>
      <c r="O17" s="2">
        <f t="shared" si="6"/>
        <v>-112</v>
      </c>
      <c r="P17" s="33"/>
      <c r="Q17" s="5">
        <f t="shared" si="2"/>
        <v>0</v>
      </c>
      <c r="R17" s="5"/>
      <c r="S17" s="19" t="s">
        <v>67</v>
      </c>
      <c r="T17" s="2">
        <f t="shared" si="7"/>
        <v>-28</v>
      </c>
      <c r="U17" s="33"/>
      <c r="V17" s="5">
        <f t="shared" si="8"/>
        <v>0</v>
      </c>
    </row>
    <row r="18" spans="1:22" s="3" customFormat="1" x14ac:dyDescent="0.2">
      <c r="A18" s="17" t="s">
        <v>51</v>
      </c>
      <c r="B18" s="44">
        <f t="shared" si="0"/>
        <v>-252</v>
      </c>
      <c r="C18" s="42"/>
      <c r="D18" s="6" t="s">
        <v>49</v>
      </c>
      <c r="E18" s="2">
        <f t="shared" si="3"/>
        <v>-280</v>
      </c>
      <c r="F18" s="33"/>
      <c r="G18" s="5">
        <f t="shared" si="1"/>
        <v>0</v>
      </c>
      <c r="H18" s="5"/>
      <c r="I18" s="6" t="s">
        <v>55</v>
      </c>
      <c r="J18" s="2">
        <f t="shared" si="4"/>
        <v>-196</v>
      </c>
      <c r="K18" s="33"/>
      <c r="L18" s="5">
        <f t="shared" si="5"/>
        <v>0</v>
      </c>
      <c r="M18" s="5"/>
      <c r="N18" s="19" t="s">
        <v>62</v>
      </c>
      <c r="O18" s="2">
        <f t="shared" si="6"/>
        <v>-98</v>
      </c>
      <c r="P18" s="33"/>
      <c r="Q18" s="5">
        <f t="shared" si="2"/>
        <v>0</v>
      </c>
      <c r="R18" s="5"/>
      <c r="S18" s="20" t="s">
        <v>68</v>
      </c>
      <c r="T18" s="2">
        <f t="shared" si="7"/>
        <v>-14</v>
      </c>
      <c r="U18" s="33"/>
      <c r="V18" s="5">
        <f t="shared" si="8"/>
        <v>0</v>
      </c>
    </row>
    <row r="19" spans="1:22" s="3" customFormat="1" x14ac:dyDescent="0.2">
      <c r="A19" s="18" t="s">
        <v>52</v>
      </c>
      <c r="B19" s="44">
        <f t="shared" si="0"/>
        <v>-238</v>
      </c>
      <c r="C19" s="42"/>
      <c r="D19" s="6">
        <v>13</v>
      </c>
      <c r="E19" s="2">
        <f t="shared" si="3"/>
        <v>-266</v>
      </c>
      <c r="F19" s="33"/>
      <c r="G19" s="5">
        <f>C17/2</f>
        <v>0</v>
      </c>
      <c r="H19" s="5"/>
      <c r="I19" s="6" t="s">
        <v>56</v>
      </c>
      <c r="J19" s="2">
        <f t="shared" si="4"/>
        <v>-182</v>
      </c>
      <c r="K19" s="33"/>
      <c r="L19" s="5">
        <f t="shared" si="5"/>
        <v>0</v>
      </c>
      <c r="M19" s="5"/>
      <c r="N19" s="19">
        <v>39</v>
      </c>
      <c r="O19" s="2">
        <f t="shared" si="6"/>
        <v>-84</v>
      </c>
      <c r="P19" s="33"/>
      <c r="Q19" s="5">
        <f>C30/2</f>
        <v>0</v>
      </c>
      <c r="R19" s="5"/>
      <c r="S19" s="19" t="s">
        <v>69</v>
      </c>
      <c r="T19" s="2">
        <f t="shared" si="7"/>
        <v>0</v>
      </c>
      <c r="U19" s="33"/>
      <c r="V19" s="5">
        <f t="shared" si="8"/>
        <v>0</v>
      </c>
    </row>
    <row r="20" spans="1:22" s="3" customFormat="1" x14ac:dyDescent="0.2">
      <c r="A20" s="17" t="s">
        <v>53</v>
      </c>
      <c r="B20" s="44">
        <f t="shared" si="0"/>
        <v>-224</v>
      </c>
      <c r="C20" s="42"/>
      <c r="F20" s="33"/>
      <c r="K20" s="33"/>
      <c r="P20" s="33"/>
      <c r="U20" s="33"/>
    </row>
    <row r="21" spans="1:22" s="3" customFormat="1" x14ac:dyDescent="0.2">
      <c r="A21" s="17" t="s">
        <v>54</v>
      </c>
      <c r="B21" s="44">
        <f t="shared" si="0"/>
        <v>-210</v>
      </c>
      <c r="C21" s="42"/>
      <c r="E21" s="6" t="s">
        <v>7</v>
      </c>
      <c r="F21" s="33"/>
      <c r="G21" s="5">
        <f>SUM(G13:G19)</f>
        <v>0</v>
      </c>
      <c r="H21" s="5"/>
      <c r="I21" s="5"/>
      <c r="J21" s="5"/>
      <c r="K21" s="33"/>
      <c r="L21" s="5">
        <f>SUM(L13:L19)</f>
        <v>0</v>
      </c>
      <c r="M21" s="5"/>
      <c r="N21" s="5"/>
      <c r="O21" s="5"/>
      <c r="P21" s="33"/>
      <c r="Q21" s="5">
        <f>SUM(Q13:Q19)</f>
        <v>0</v>
      </c>
      <c r="R21" s="5"/>
      <c r="S21" s="5"/>
      <c r="T21" s="5"/>
      <c r="U21" s="33"/>
      <c r="V21" s="5">
        <f>SUM(V13:V19)</f>
        <v>0</v>
      </c>
    </row>
    <row r="22" spans="1:22" s="3" customFormat="1" x14ac:dyDescent="0.2">
      <c r="A22" s="17" t="s">
        <v>55</v>
      </c>
      <c r="B22" s="44">
        <f t="shared" si="0"/>
        <v>-196</v>
      </c>
      <c r="C22" s="42"/>
      <c r="E22" s="6" t="s">
        <v>6</v>
      </c>
      <c r="F22" s="33"/>
      <c r="G22" s="5">
        <f>ROUND(G21/13,2)</f>
        <v>0</v>
      </c>
      <c r="H22" s="5"/>
      <c r="I22" s="5"/>
      <c r="J22" s="5"/>
      <c r="K22" s="33"/>
      <c r="L22" s="5">
        <f>ROUND(L21/13,2)</f>
        <v>0</v>
      </c>
      <c r="M22" s="5"/>
      <c r="N22" s="5"/>
      <c r="O22" s="5"/>
      <c r="P22" s="33"/>
      <c r="Q22" s="5">
        <f>ROUND(Q21/13,2)</f>
        <v>0</v>
      </c>
      <c r="R22" s="5"/>
      <c r="S22" s="5"/>
      <c r="T22" s="5"/>
      <c r="U22" s="33"/>
      <c r="V22" s="5">
        <f>ROUND(V21/13,2)</f>
        <v>0</v>
      </c>
    </row>
    <row r="23" spans="1:22" s="3" customFormat="1" x14ac:dyDescent="0.2">
      <c r="A23" s="18" t="s">
        <v>56</v>
      </c>
      <c r="B23" s="44">
        <f t="shared" si="0"/>
        <v>-182</v>
      </c>
      <c r="C23" s="42"/>
      <c r="F23" s="33"/>
      <c r="I23" s="62"/>
      <c r="J23" s="62"/>
      <c r="K23" s="77"/>
      <c r="L23" s="62"/>
      <c r="M23" s="62"/>
      <c r="N23" s="62"/>
      <c r="O23" s="62"/>
      <c r="P23" s="33"/>
      <c r="U23" s="33"/>
    </row>
    <row r="24" spans="1:22" s="3" customFormat="1" x14ac:dyDescent="0.2">
      <c r="A24" s="17" t="s">
        <v>57</v>
      </c>
      <c r="B24" s="44">
        <f t="shared" si="0"/>
        <v>-168</v>
      </c>
      <c r="C24" s="42"/>
      <c r="E24" s="6" t="s">
        <v>10</v>
      </c>
      <c r="F24" s="33"/>
      <c r="G24" s="5">
        <f>MIN(G22, L22, Q22, V22)</f>
        <v>0</v>
      </c>
      <c r="H24" s="5"/>
      <c r="I24" s="86"/>
      <c r="J24" s="79" t="b">
        <f>AND($C$9=2011,$G$26&gt;1286)</f>
        <v>0</v>
      </c>
      <c r="K24" s="80"/>
      <c r="L24" s="81">
        <f>J24*858</f>
        <v>0</v>
      </c>
      <c r="M24" s="83"/>
      <c r="N24" s="83"/>
      <c r="O24" s="83"/>
      <c r="P24" s="84"/>
      <c r="Q24" s="83"/>
      <c r="R24" s="83"/>
      <c r="U24" s="33"/>
    </row>
    <row r="25" spans="1:22" s="3" customFormat="1" x14ac:dyDescent="0.2">
      <c r="A25" s="17" t="s">
        <v>58</v>
      </c>
      <c r="B25" s="44">
        <f t="shared" si="0"/>
        <v>-154</v>
      </c>
      <c r="C25" s="42"/>
      <c r="E25" s="6" t="s">
        <v>8</v>
      </c>
      <c r="F25" s="33"/>
      <c r="G25" s="5">
        <f>(G22+L22+Q22+V22)-G24</f>
        <v>0</v>
      </c>
      <c r="H25" s="5"/>
      <c r="I25" s="86"/>
      <c r="J25" s="79" t="b">
        <f>AND($C$9=2011,1286&gt;=$G$26,643.51&lt;=$G$26)</f>
        <v>0</v>
      </c>
      <c r="K25" s="80"/>
      <c r="L25" s="81">
        <f>J25*$G$26*(2/3)</f>
        <v>0</v>
      </c>
      <c r="M25" s="83"/>
      <c r="N25" s="83"/>
      <c r="O25" s="83"/>
      <c r="P25" s="84"/>
      <c r="Q25" s="83"/>
      <c r="R25" s="83"/>
      <c r="U25" s="33"/>
    </row>
    <row r="26" spans="1:22" s="3" customFormat="1" x14ac:dyDescent="0.2">
      <c r="A26" s="17" t="s">
        <v>59</v>
      </c>
      <c r="B26" s="44">
        <f t="shared" si="0"/>
        <v>-140</v>
      </c>
      <c r="C26" s="42"/>
      <c r="E26" s="6" t="s">
        <v>9</v>
      </c>
      <c r="F26" s="27"/>
      <c r="G26" s="5">
        <f>ROUND((G25/3)+(C38/52),2)</f>
        <v>0</v>
      </c>
      <c r="H26" s="5"/>
      <c r="I26" s="86"/>
      <c r="J26" s="79" t="b">
        <f>AND($C$9=2011,643.5&gt;=$G$26,476.67&lt;=$G$26)</f>
        <v>0</v>
      </c>
      <c r="K26" s="79"/>
      <c r="L26" s="81">
        <f>J26*429</f>
        <v>0</v>
      </c>
      <c r="M26" s="83"/>
      <c r="N26" s="83"/>
      <c r="O26" s="83"/>
      <c r="P26" s="59"/>
      <c r="Q26" s="83"/>
      <c r="R26" s="83"/>
      <c r="U26" s="27"/>
    </row>
    <row r="27" spans="1:22" s="3" customFormat="1" x14ac:dyDescent="0.2">
      <c r="A27" s="18" t="s">
        <v>60</v>
      </c>
      <c r="B27" s="44">
        <f t="shared" si="0"/>
        <v>-126</v>
      </c>
      <c r="C27" s="42"/>
      <c r="E27" s="21" t="s">
        <v>70</v>
      </c>
      <c r="F27" s="35"/>
      <c r="G27" s="5">
        <f>ROUND(SUM(L24:L75),2)</f>
        <v>0</v>
      </c>
      <c r="I27" s="86"/>
      <c r="J27" s="79" t="b">
        <f>AND($C$9=2011,$G$26&lt;476.67)</f>
        <v>0</v>
      </c>
      <c r="K27" s="82"/>
      <c r="L27" s="81">
        <f>J27*$G$26*0.9</f>
        <v>0</v>
      </c>
      <c r="M27" s="83"/>
      <c r="N27" s="83"/>
      <c r="O27" s="83"/>
      <c r="P27" s="74"/>
      <c r="Q27" s="83"/>
      <c r="R27" s="83"/>
      <c r="U27" s="35"/>
    </row>
    <row r="28" spans="1:22" s="3" customFormat="1" x14ac:dyDescent="0.2">
      <c r="A28" s="17" t="s">
        <v>61</v>
      </c>
      <c r="B28" s="44">
        <f t="shared" si="0"/>
        <v>-112</v>
      </c>
      <c r="C28" s="42"/>
      <c r="F28" s="35"/>
      <c r="H28" s="62"/>
      <c r="I28" s="86"/>
      <c r="J28" s="79" t="b">
        <f>AND($C$9=2010,$G$26&gt;1267.5)</f>
        <v>0</v>
      </c>
      <c r="K28" s="82"/>
      <c r="L28" s="81">
        <f>J28*845</f>
        <v>0</v>
      </c>
      <c r="M28" s="83"/>
      <c r="N28" s="83"/>
      <c r="O28" s="83"/>
      <c r="P28" s="74"/>
      <c r="Q28" s="83"/>
      <c r="R28" s="83"/>
      <c r="U28" s="35"/>
    </row>
    <row r="29" spans="1:22" s="3" customFormat="1" x14ac:dyDescent="0.2">
      <c r="A29" s="17" t="s">
        <v>62</v>
      </c>
      <c r="B29" s="44">
        <f t="shared" si="0"/>
        <v>-98</v>
      </c>
      <c r="C29" s="42"/>
      <c r="F29" s="27"/>
      <c r="H29" s="62"/>
      <c r="I29" s="86"/>
      <c r="J29" s="79" t="b">
        <f>AND($C$9=2010,1267.5&gt;=$G$26,633.76&lt;=$G$26)</f>
        <v>0</v>
      </c>
      <c r="K29" s="79"/>
      <c r="L29" s="81">
        <f>J29*$G$26*(2/3)</f>
        <v>0</v>
      </c>
      <c r="M29" s="83"/>
      <c r="N29" s="83"/>
      <c r="O29" s="83"/>
      <c r="P29" s="59"/>
      <c r="Q29" s="83"/>
      <c r="R29" s="83"/>
      <c r="U29" s="27"/>
    </row>
    <row r="30" spans="1:22" s="3" customFormat="1" x14ac:dyDescent="0.2">
      <c r="A30" s="17" t="s">
        <v>63</v>
      </c>
      <c r="B30" s="44">
        <f t="shared" si="0"/>
        <v>-84</v>
      </c>
      <c r="C30" s="42"/>
      <c r="F30" s="35"/>
      <c r="H30" s="62"/>
      <c r="I30" s="86"/>
      <c r="J30" s="79" t="b">
        <f>AND($C$9=2010,633.75&gt;=$G$26,469.44&lt;=$G$26)</f>
        <v>0</v>
      </c>
      <c r="K30" s="82"/>
      <c r="L30" s="81">
        <f>J30*422.5</f>
        <v>0</v>
      </c>
      <c r="M30" s="83"/>
      <c r="N30" s="83"/>
      <c r="O30" s="83"/>
      <c r="P30" s="74"/>
      <c r="Q30" s="83"/>
      <c r="R30" s="83"/>
      <c r="U30" s="35"/>
    </row>
    <row r="31" spans="1:22" s="3" customFormat="1" x14ac:dyDescent="0.2">
      <c r="A31" s="18" t="s">
        <v>64</v>
      </c>
      <c r="B31" s="44">
        <f t="shared" si="0"/>
        <v>-70</v>
      </c>
      <c r="C31" s="42"/>
      <c r="F31" s="35"/>
      <c r="H31" s="62"/>
      <c r="I31" s="86"/>
      <c r="J31" s="79" t="b">
        <f>AND($C$9=2010,$G$26&lt;=469.43)</f>
        <v>0</v>
      </c>
      <c r="K31" s="82"/>
      <c r="L31" s="81">
        <f>J31*$G$26*0.9</f>
        <v>0</v>
      </c>
      <c r="M31" s="83"/>
      <c r="N31" s="83"/>
      <c r="O31" s="83"/>
      <c r="P31" s="74"/>
      <c r="Q31" s="83"/>
      <c r="R31" s="83"/>
      <c r="U31" s="35"/>
    </row>
    <row r="32" spans="1:22" s="3" customFormat="1" x14ac:dyDescent="0.2">
      <c r="A32" s="17" t="s">
        <v>65</v>
      </c>
      <c r="B32" s="44">
        <f t="shared" si="0"/>
        <v>-56</v>
      </c>
      <c r="C32" s="42"/>
      <c r="F32" s="35"/>
      <c r="H32" s="62"/>
      <c r="I32" s="86"/>
      <c r="J32" s="79" t="b">
        <f>AND($C$9=2009,$G$26&gt;1254)</f>
        <v>0</v>
      </c>
      <c r="K32" s="82"/>
      <c r="L32" s="81">
        <f>J32*836</f>
        <v>0</v>
      </c>
      <c r="M32" s="83"/>
      <c r="N32" s="83"/>
      <c r="O32" s="83"/>
      <c r="P32" s="74"/>
      <c r="Q32" s="83"/>
      <c r="R32" s="83"/>
      <c r="U32" s="35"/>
    </row>
    <row r="33" spans="1:21" s="3" customFormat="1" x14ac:dyDescent="0.2">
      <c r="A33" s="17" t="s">
        <v>66</v>
      </c>
      <c r="B33" s="44">
        <f t="shared" si="0"/>
        <v>-42</v>
      </c>
      <c r="C33" s="42"/>
      <c r="F33" s="35"/>
      <c r="H33" s="62"/>
      <c r="I33" s="86"/>
      <c r="J33" s="79" t="b">
        <f>AND($C$9=2009,1254&gt;=$G$26,627.01&lt;=$G$26)</f>
        <v>0</v>
      </c>
      <c r="K33" s="82"/>
      <c r="L33" s="81">
        <f>J33*$G$26*(2/3)</f>
        <v>0</v>
      </c>
      <c r="M33" s="83"/>
      <c r="N33" s="83"/>
      <c r="O33" s="83"/>
      <c r="P33" s="74"/>
      <c r="Q33" s="83"/>
      <c r="R33" s="83"/>
      <c r="U33" s="35"/>
    </row>
    <row r="34" spans="1:21" s="3" customFormat="1" x14ac:dyDescent="0.2">
      <c r="A34" s="17" t="s">
        <v>67</v>
      </c>
      <c r="B34" s="44">
        <f t="shared" si="0"/>
        <v>-28</v>
      </c>
      <c r="C34" s="42"/>
      <c r="F34" s="27"/>
      <c r="H34" s="62"/>
      <c r="I34" s="86"/>
      <c r="J34" s="79" t="b">
        <f>AND($C$9=2009,627&gt;=$G$26,464.44&lt;=$G$26)</f>
        <v>0</v>
      </c>
      <c r="K34" s="79"/>
      <c r="L34" s="81">
        <f>J34*418</f>
        <v>0</v>
      </c>
      <c r="M34" s="83"/>
      <c r="N34" s="83"/>
      <c r="O34" s="83"/>
      <c r="P34" s="59"/>
      <c r="Q34" s="83"/>
      <c r="R34" s="83"/>
      <c r="U34" s="27"/>
    </row>
    <row r="35" spans="1:21" s="3" customFormat="1" x14ac:dyDescent="0.2">
      <c r="A35" s="18" t="s">
        <v>68</v>
      </c>
      <c r="B35" s="44">
        <f>B36-14</f>
        <v>-14</v>
      </c>
      <c r="C35" s="42"/>
      <c r="F35" s="27"/>
      <c r="H35" s="62"/>
      <c r="I35" s="86"/>
      <c r="J35" s="79" t="b">
        <f>AND($C$9=2009,$G$26&lt;=464.43)</f>
        <v>0</v>
      </c>
      <c r="K35" s="79"/>
      <c r="L35" s="81">
        <f>J35*$G$26*0.9</f>
        <v>0</v>
      </c>
      <c r="M35" s="83"/>
      <c r="N35" s="83"/>
      <c r="O35" s="83"/>
      <c r="P35" s="59"/>
      <c r="Q35" s="83"/>
      <c r="R35" s="83"/>
      <c r="U35" s="27"/>
    </row>
    <row r="36" spans="1:21" s="3" customFormat="1" x14ac:dyDescent="0.2">
      <c r="A36" s="17" t="s">
        <v>69</v>
      </c>
      <c r="B36" s="45"/>
      <c r="C36" s="42"/>
      <c r="F36" s="27"/>
      <c r="H36" s="62"/>
      <c r="I36" s="86"/>
      <c r="J36" s="79" t="b">
        <f>AND($C$9=2008,$G$26&gt;1210.5)</f>
        <v>0</v>
      </c>
      <c r="K36" s="79"/>
      <c r="L36" s="81">
        <f>J36*807</f>
        <v>0</v>
      </c>
      <c r="M36" s="83"/>
      <c r="N36" s="83"/>
      <c r="O36" s="83"/>
      <c r="P36" s="59"/>
      <c r="Q36" s="83"/>
      <c r="R36" s="83"/>
      <c r="U36" s="27"/>
    </row>
    <row r="37" spans="1:21" s="3" customFormat="1" x14ac:dyDescent="0.2">
      <c r="A37" s="17"/>
      <c r="B37" s="24"/>
      <c r="C37" s="28"/>
      <c r="F37" s="27"/>
      <c r="H37" s="62"/>
      <c r="I37" s="86"/>
      <c r="J37" s="79" t="b">
        <f>AND($C$9=2008,1210.5&gt;=$G$26,605.26&lt;=$G$26)</f>
        <v>0</v>
      </c>
      <c r="K37" s="79"/>
      <c r="L37" s="81">
        <f>J37*$G$26*(2/3)</f>
        <v>0</v>
      </c>
      <c r="M37" s="83"/>
      <c r="N37" s="83"/>
      <c r="O37" s="83"/>
      <c r="P37" s="59"/>
      <c r="Q37" s="83"/>
      <c r="R37" s="83"/>
      <c r="U37" s="27"/>
    </row>
    <row r="38" spans="1:21" s="3" customFormat="1" x14ac:dyDescent="0.2">
      <c r="A38" s="17"/>
      <c r="B38" s="53" t="s">
        <v>13</v>
      </c>
      <c r="C38" s="42"/>
      <c r="F38" s="27"/>
      <c r="H38" s="62"/>
      <c r="I38" s="86"/>
      <c r="J38" s="79" t="b">
        <f>AND($C$9=2008,605.25&gt;=$G$26,448.33&lt;=$G$26)</f>
        <v>0</v>
      </c>
      <c r="K38" s="79"/>
      <c r="L38" s="81">
        <f>J38*403.5</f>
        <v>0</v>
      </c>
      <c r="M38" s="83"/>
      <c r="N38" s="83"/>
      <c r="O38" s="83"/>
      <c r="P38" s="59"/>
      <c r="Q38" s="83"/>
      <c r="R38" s="83"/>
      <c r="U38" s="27"/>
    </row>
    <row r="39" spans="1:21" s="3" customFormat="1" x14ac:dyDescent="0.2">
      <c r="A39" s="17"/>
      <c r="B39" s="4"/>
      <c r="C39" s="7"/>
      <c r="F39" s="27"/>
      <c r="H39" s="62"/>
      <c r="I39" s="86"/>
      <c r="J39" s="79" t="b">
        <f>AND($C$9=2008,$G$26&lt;=448.32)</f>
        <v>0</v>
      </c>
      <c r="K39" s="79"/>
      <c r="L39" s="81">
        <f>J39*$G$26*0.9</f>
        <v>0</v>
      </c>
      <c r="M39" s="83"/>
      <c r="N39" s="83"/>
      <c r="O39" s="83"/>
      <c r="P39" s="59"/>
      <c r="Q39" s="83"/>
      <c r="R39" s="83"/>
      <c r="U39" s="27"/>
    </row>
    <row r="40" spans="1:21" s="3" customFormat="1" x14ac:dyDescent="0.2">
      <c r="A40" s="17"/>
      <c r="B40" s="4"/>
      <c r="C40" s="7"/>
      <c r="F40" s="27"/>
      <c r="H40" s="62"/>
      <c r="I40" s="86"/>
      <c r="J40" s="79" t="b">
        <f>AND($C$9=2012,$G$26&gt;1332)</f>
        <v>0</v>
      </c>
      <c r="K40" s="79"/>
      <c r="L40" s="81">
        <f>J40*888</f>
        <v>0</v>
      </c>
      <c r="M40" s="83"/>
      <c r="N40" s="83"/>
      <c r="O40" s="83"/>
      <c r="P40" s="59"/>
      <c r="Q40" s="83"/>
      <c r="R40" s="83"/>
      <c r="U40" s="27"/>
    </row>
    <row r="41" spans="1:21" s="3" customFormat="1" x14ac:dyDescent="0.2">
      <c r="A41" s="17"/>
      <c r="B41" s="4"/>
      <c r="C41" s="7"/>
      <c r="F41" s="27"/>
      <c r="H41" s="62"/>
      <c r="I41" s="86"/>
      <c r="J41" s="79" t="b">
        <f>AND($C$9=2012,1332&gt;=$G$26,666.01&lt;=$G$26)</f>
        <v>0</v>
      </c>
      <c r="K41" s="79"/>
      <c r="L41" s="81">
        <f>J41*$G$26*(2/3)</f>
        <v>0</v>
      </c>
      <c r="M41" s="83"/>
      <c r="N41" s="83"/>
      <c r="O41" s="83"/>
      <c r="P41" s="59"/>
      <c r="Q41" s="83"/>
      <c r="R41" s="83"/>
      <c r="U41" s="27"/>
    </row>
    <row r="42" spans="1:21" s="3" customFormat="1" x14ac:dyDescent="0.2">
      <c r="A42" s="17"/>
      <c r="B42" s="4"/>
      <c r="C42" s="7"/>
      <c r="F42" s="27"/>
      <c r="H42" s="62"/>
      <c r="I42" s="86"/>
      <c r="J42" s="79" t="b">
        <f>AND($C$9=2012,666&gt;=$G$26,493.33&lt;=$G$26)</f>
        <v>0</v>
      </c>
      <c r="K42" s="79"/>
      <c r="L42" s="81">
        <f>J42*444</f>
        <v>0</v>
      </c>
      <c r="M42" s="83"/>
      <c r="N42" s="83"/>
      <c r="O42" s="83"/>
      <c r="P42" s="59"/>
      <c r="Q42" s="83"/>
      <c r="R42" s="83"/>
      <c r="U42" s="27"/>
    </row>
    <row r="43" spans="1:21" s="3" customFormat="1" x14ac:dyDescent="0.2">
      <c r="A43" s="17"/>
      <c r="B43" s="4"/>
      <c r="C43" s="7"/>
      <c r="F43" s="27"/>
      <c r="H43" s="62"/>
      <c r="I43" s="86"/>
      <c r="J43" s="79" t="b">
        <f>AND($C$9=2012,$G$26&lt;493.33)</f>
        <v>0</v>
      </c>
      <c r="K43" s="79"/>
      <c r="L43" s="81">
        <f>J43*$G$26*0.9</f>
        <v>0</v>
      </c>
      <c r="M43" s="83"/>
      <c r="N43" s="83"/>
      <c r="O43" s="83"/>
      <c r="P43" s="59"/>
      <c r="Q43" s="83"/>
      <c r="R43" s="83"/>
      <c r="U43" s="27"/>
    </row>
    <row r="44" spans="1:21" s="3" customFormat="1" x14ac:dyDescent="0.2">
      <c r="A44" s="17"/>
      <c r="B44" s="4"/>
      <c r="C44" s="7"/>
      <c r="F44" s="27"/>
      <c r="H44" s="62"/>
      <c r="I44" s="86"/>
      <c r="J44" s="79" t="b">
        <f>AND($C$9=2013,$G$26&gt;1375.5)</f>
        <v>0</v>
      </c>
      <c r="K44" s="79"/>
      <c r="L44" s="81">
        <f>J44*917</f>
        <v>0</v>
      </c>
      <c r="M44" s="83"/>
      <c r="N44" s="83"/>
      <c r="O44" s="83"/>
      <c r="P44" s="59"/>
      <c r="Q44" s="83"/>
      <c r="R44" s="83"/>
      <c r="U44" s="27"/>
    </row>
    <row r="45" spans="1:21" s="3" customFormat="1" x14ac:dyDescent="0.2">
      <c r="A45" s="17"/>
      <c r="B45" s="4"/>
      <c r="C45" s="7"/>
      <c r="F45" s="27"/>
      <c r="H45" s="62"/>
      <c r="I45" s="86"/>
      <c r="J45" s="79" t="b">
        <f>AND($C$9=2013,1375.5&gt;=$G$26,687.76&lt;=$G$26)</f>
        <v>0</v>
      </c>
      <c r="K45" s="79"/>
      <c r="L45" s="81">
        <f>J45*$G$32*(2/3)</f>
        <v>0</v>
      </c>
      <c r="M45" s="83"/>
      <c r="N45" s="83"/>
      <c r="O45" s="83"/>
      <c r="P45" s="59"/>
      <c r="Q45" s="83"/>
      <c r="R45" s="83"/>
      <c r="U45" s="27"/>
    </row>
    <row r="46" spans="1:21" s="3" customFormat="1" x14ac:dyDescent="0.2">
      <c r="A46" s="17"/>
      <c r="B46" s="4"/>
      <c r="C46" s="7"/>
      <c r="F46" s="27"/>
      <c r="H46" s="62"/>
      <c r="I46" s="86"/>
      <c r="J46" s="79" t="b">
        <f>AND($C$9=2013,687.75&gt;=$G$26,509.44&lt;=$G$26)</f>
        <v>0</v>
      </c>
      <c r="K46" s="79"/>
      <c r="L46" s="81">
        <f>J46*458.5</f>
        <v>0</v>
      </c>
      <c r="M46" s="83"/>
      <c r="N46" s="83"/>
      <c r="O46" s="83"/>
      <c r="P46" s="59"/>
      <c r="Q46" s="83"/>
      <c r="R46" s="83"/>
      <c r="U46" s="27"/>
    </row>
    <row r="47" spans="1:21" s="3" customFormat="1" x14ac:dyDescent="0.2">
      <c r="A47" s="17"/>
      <c r="B47" s="4"/>
      <c r="C47" s="7"/>
      <c r="F47" s="27"/>
      <c r="H47" s="62"/>
      <c r="I47" s="86"/>
      <c r="J47" s="79" t="b">
        <f>AND($C$9=2013,$G$26&lt;509.43)</f>
        <v>0</v>
      </c>
      <c r="K47" s="79"/>
      <c r="L47" s="81">
        <f>J47*$G$32*0.9</f>
        <v>0</v>
      </c>
      <c r="M47" s="83"/>
      <c r="N47" s="83"/>
      <c r="O47" s="83"/>
      <c r="P47" s="59"/>
      <c r="Q47" s="83"/>
      <c r="R47" s="83"/>
      <c r="U47" s="27"/>
    </row>
    <row r="48" spans="1:21" s="3" customFormat="1" x14ac:dyDescent="0.2">
      <c r="A48" s="17"/>
      <c r="B48" s="4"/>
      <c r="C48" s="7"/>
      <c r="F48" s="27"/>
      <c r="H48" s="62"/>
      <c r="I48" s="86"/>
      <c r="J48" s="79" t="b">
        <f>AND($C$9=2014,$G$26&gt;1398)</f>
        <v>0</v>
      </c>
      <c r="K48" s="79"/>
      <c r="L48" s="81">
        <f>J48*932</f>
        <v>0</v>
      </c>
      <c r="M48" s="83"/>
      <c r="N48" s="83"/>
      <c r="O48" s="83"/>
      <c r="P48" s="59"/>
      <c r="Q48" s="83"/>
      <c r="R48" s="83"/>
      <c r="U48" s="27"/>
    </row>
    <row r="49" spans="1:24" s="3" customFormat="1" x14ac:dyDescent="0.2">
      <c r="A49" s="17"/>
      <c r="B49" s="4"/>
      <c r="C49" s="7"/>
      <c r="F49" s="27"/>
      <c r="H49" s="62"/>
      <c r="I49" s="86"/>
      <c r="J49" s="79" t="b">
        <f>AND($C$9=2014,1398&gt;=$G$26,699.01&lt;=$G$26)</f>
        <v>0</v>
      </c>
      <c r="K49" s="79"/>
      <c r="L49" s="81">
        <f>J49*$G$26*(2/3)</f>
        <v>0</v>
      </c>
      <c r="M49" s="83"/>
      <c r="N49" s="83"/>
      <c r="O49" s="83"/>
      <c r="P49" s="59"/>
      <c r="Q49" s="83"/>
      <c r="R49" s="83"/>
      <c r="U49" s="27"/>
    </row>
    <row r="50" spans="1:24" s="3" customFormat="1" x14ac:dyDescent="0.2">
      <c r="A50" s="17"/>
      <c r="B50" s="4"/>
      <c r="C50" s="7"/>
      <c r="F50" s="27"/>
      <c r="H50" s="62"/>
      <c r="I50" s="86"/>
      <c r="J50" s="79" t="b">
        <f>AND($C$9=2014,699&gt;=$G$26,517.78&lt;=$G$26)</f>
        <v>0</v>
      </c>
      <c r="K50" s="79"/>
      <c r="L50" s="81">
        <f>J50*466</f>
        <v>0</v>
      </c>
      <c r="M50" s="83"/>
      <c r="N50" s="83"/>
      <c r="O50" s="83"/>
      <c r="P50" s="59"/>
      <c r="Q50" s="83"/>
      <c r="R50" s="83"/>
      <c r="U50" s="27"/>
    </row>
    <row r="51" spans="1:24" s="3" customFormat="1" x14ac:dyDescent="0.2">
      <c r="A51" s="17"/>
      <c r="B51" s="4"/>
      <c r="C51" s="7"/>
      <c r="F51" s="27"/>
      <c r="H51" s="62"/>
      <c r="I51" s="86"/>
      <c r="J51" s="79" t="b">
        <f>AND($C$9=2014,$G$26&lt;517.78)</f>
        <v>0</v>
      </c>
      <c r="K51" s="79"/>
      <c r="L51" s="81">
        <f>J51*$G$26*0.9</f>
        <v>0</v>
      </c>
      <c r="M51" s="83"/>
      <c r="N51" s="83"/>
      <c r="O51" s="83"/>
      <c r="P51" s="59"/>
      <c r="Q51" s="83"/>
      <c r="R51" s="83"/>
      <c r="U51" s="27"/>
    </row>
    <row r="52" spans="1:24" s="3" customFormat="1" x14ac:dyDescent="0.2">
      <c r="A52" s="17"/>
      <c r="B52" s="4"/>
      <c r="C52" s="7"/>
      <c r="F52" s="27"/>
      <c r="H52" s="62"/>
      <c r="I52" s="86"/>
      <c r="J52" s="79" t="b">
        <f>AND($C$9=2015,$G$26&gt;1426.5)</f>
        <v>0</v>
      </c>
      <c r="K52" s="79"/>
      <c r="L52" s="81">
        <f>J52*951</f>
        <v>0</v>
      </c>
      <c r="M52" s="83"/>
      <c r="N52" s="83"/>
      <c r="O52" s="83"/>
      <c r="P52" s="59"/>
      <c r="Q52" s="83"/>
      <c r="R52" s="83"/>
      <c r="U52" s="27"/>
    </row>
    <row r="53" spans="1:24" s="3" customFormat="1" x14ac:dyDescent="0.2">
      <c r="A53" s="17"/>
      <c r="B53" s="4"/>
      <c r="C53" s="7"/>
      <c r="F53" s="27"/>
      <c r="H53" s="62"/>
      <c r="I53" s="86"/>
      <c r="J53" s="79" t="b">
        <f>AND($C$9=2015,1426.5&gt;=$G$26,713.26&lt;=$G$26)</f>
        <v>0</v>
      </c>
      <c r="K53" s="79"/>
      <c r="L53" s="81">
        <f>J53*$G$26*(2/3)</f>
        <v>0</v>
      </c>
      <c r="M53" s="83"/>
      <c r="N53" s="83"/>
      <c r="O53" s="83"/>
      <c r="P53" s="59"/>
      <c r="Q53" s="83"/>
      <c r="R53" s="83"/>
      <c r="U53" s="27"/>
    </row>
    <row r="54" spans="1:24" s="3" customFormat="1" x14ac:dyDescent="0.2">
      <c r="A54" s="17"/>
      <c r="B54" s="4"/>
      <c r="C54" s="7"/>
      <c r="F54" s="27"/>
      <c r="H54" s="62"/>
      <c r="I54" s="86"/>
      <c r="J54" s="79" t="b">
        <f>AND($C$9=2015,716.25&gt;=$G$26,528.33&lt;=$G$26)</f>
        <v>0</v>
      </c>
      <c r="K54" s="79"/>
      <c r="L54" s="81">
        <f>J54*475.5</f>
        <v>0</v>
      </c>
      <c r="M54" s="83"/>
      <c r="N54" s="83"/>
      <c r="O54" s="83"/>
      <c r="P54" s="59"/>
      <c r="Q54" s="83"/>
      <c r="R54" s="83"/>
      <c r="U54" s="27"/>
    </row>
    <row r="55" spans="1:24" s="3" customFormat="1" x14ac:dyDescent="0.2">
      <c r="A55" s="17"/>
      <c r="B55" s="4"/>
      <c r="C55" s="7"/>
      <c r="F55" s="27"/>
      <c r="H55" s="62"/>
      <c r="I55" s="86"/>
      <c r="J55" s="79" t="b">
        <f>AND($C$9=2015,$G$26&lt;528.32)</f>
        <v>0</v>
      </c>
      <c r="K55" s="79"/>
      <c r="L55" s="81">
        <f>J55*$G$26*0.9</f>
        <v>0</v>
      </c>
      <c r="M55" s="83"/>
      <c r="N55" s="83"/>
      <c r="O55" s="62"/>
      <c r="P55" s="27"/>
      <c r="U55" s="27"/>
    </row>
    <row r="56" spans="1:24" s="3" customFormat="1" x14ac:dyDescent="0.2">
      <c r="A56" s="17"/>
      <c r="B56" s="4"/>
      <c r="C56" s="7"/>
      <c r="F56" s="27"/>
      <c r="H56" s="62"/>
      <c r="I56" s="86"/>
      <c r="J56" s="79" t="b">
        <f>AND($C$9=2016,$G$26&gt;1467)</f>
        <v>0</v>
      </c>
      <c r="K56" s="79"/>
      <c r="L56" s="81">
        <f>J56*978</f>
        <v>0</v>
      </c>
      <c r="M56" s="83"/>
      <c r="N56" s="83"/>
      <c r="O56" s="62"/>
      <c r="P56" s="27"/>
      <c r="U56" s="27"/>
    </row>
    <row r="57" spans="1:24" s="3" customFormat="1" x14ac:dyDescent="0.2">
      <c r="A57" s="17"/>
      <c r="B57" s="4"/>
      <c r="C57" s="7"/>
      <c r="F57" s="27"/>
      <c r="H57" s="62"/>
      <c r="I57" s="86"/>
      <c r="J57" s="79" t="b">
        <f>AND($C$9=2016,1467&gt;=$G$26,733.51&lt;=$G$26)</f>
        <v>0</v>
      </c>
      <c r="K57" s="79"/>
      <c r="L57" s="81">
        <f>J57*$G$26*(2/3)</f>
        <v>0</v>
      </c>
      <c r="M57" s="83"/>
      <c r="N57" s="83"/>
      <c r="O57" s="62"/>
      <c r="P57" s="27"/>
      <c r="U57" s="27"/>
    </row>
    <row r="58" spans="1:24" s="3" customFormat="1" x14ac:dyDescent="0.2">
      <c r="A58" s="17"/>
      <c r="B58" s="4"/>
      <c r="C58" s="7"/>
      <c r="D58"/>
      <c r="E58"/>
      <c r="F58" s="27"/>
      <c r="G58"/>
      <c r="H58" s="63"/>
      <c r="I58" s="87"/>
      <c r="J58" s="79" t="b">
        <f>AND($C$9=2016,733.51&gt;=$G$26,543.33&lt;=$G$26)</f>
        <v>0</v>
      </c>
      <c r="K58" s="79"/>
      <c r="L58" s="81">
        <f>J58*489</f>
        <v>0</v>
      </c>
      <c r="M58" s="85"/>
      <c r="N58" s="85"/>
      <c r="O58" s="63"/>
      <c r="P58" s="27"/>
      <c r="Q58"/>
      <c r="R58"/>
      <c r="S58"/>
      <c r="T58"/>
      <c r="U58" s="27"/>
      <c r="V58"/>
    </row>
    <row r="59" spans="1:24" s="3" customFormat="1" x14ac:dyDescent="0.2">
      <c r="A59" s="17"/>
      <c r="B59" s="4"/>
      <c r="C59" s="7"/>
      <c r="D59"/>
      <c r="E59"/>
      <c r="F59" s="27"/>
      <c r="G59"/>
      <c r="H59"/>
      <c r="I59" s="87"/>
      <c r="J59" s="79" t="b">
        <f>AND($C$9=2016,$G$26&lt;=543.32)</f>
        <v>0</v>
      </c>
      <c r="K59" s="79"/>
      <c r="L59" s="81">
        <f>J59*$G$26*0.9</f>
        <v>0</v>
      </c>
      <c r="M59" s="85"/>
      <c r="N59" s="85"/>
      <c r="O59" s="63"/>
      <c r="P59" s="27"/>
      <c r="Q59"/>
      <c r="R59"/>
      <c r="S59"/>
      <c r="T59"/>
      <c r="U59" s="27"/>
      <c r="V59"/>
    </row>
    <row r="60" spans="1:24" s="3" customFormat="1" x14ac:dyDescent="0.2">
      <c r="A60" s="17"/>
      <c r="B60" s="4"/>
      <c r="C60" s="7"/>
      <c r="D60"/>
      <c r="E60"/>
      <c r="F60" s="27"/>
      <c r="G60"/>
      <c r="H60"/>
      <c r="I60" s="87"/>
      <c r="J60" s="79" t="b">
        <f>AND($C$9=2017,$G$26&gt;1492.5)</f>
        <v>0</v>
      </c>
      <c r="K60" s="79"/>
      <c r="L60" s="81">
        <f>J60*995</f>
        <v>0</v>
      </c>
      <c r="M60" s="85"/>
      <c r="N60" s="85"/>
      <c r="O60" s="63"/>
      <c r="P60" s="27"/>
      <c r="Q60"/>
      <c r="R60"/>
      <c r="S60"/>
      <c r="T60"/>
      <c r="U60" s="27"/>
      <c r="V60"/>
    </row>
    <row r="61" spans="1:24" s="3" customFormat="1" x14ac:dyDescent="0.2">
      <c r="A61" s="17"/>
      <c r="B61" s="4"/>
      <c r="C61" s="7"/>
      <c r="D61"/>
      <c r="E61"/>
      <c r="F61" s="27"/>
      <c r="G61"/>
      <c r="H61"/>
      <c r="I61" s="87"/>
      <c r="J61" s="79" t="b">
        <f>AND($C$9=2017,1492.5&gt;=$G$26,746.26&lt;=$G$26)</f>
        <v>0</v>
      </c>
      <c r="K61" s="79"/>
      <c r="L61" s="81">
        <f>J61*$G$26*(2/3)</f>
        <v>0</v>
      </c>
      <c r="M61" s="85"/>
      <c r="N61" s="85"/>
      <c r="O61" s="63"/>
      <c r="P61" s="27"/>
      <c r="Q61"/>
      <c r="R61"/>
      <c r="S61"/>
      <c r="T61"/>
      <c r="U61" s="27"/>
      <c r="V61"/>
    </row>
    <row r="62" spans="1:24" s="3" customFormat="1" x14ac:dyDescent="0.2">
      <c r="A62" s="17"/>
      <c r="B62" s="4"/>
      <c r="C62" s="7"/>
      <c r="D62"/>
      <c r="E62"/>
      <c r="F62" s="27"/>
      <c r="G62"/>
      <c r="H62"/>
      <c r="I62" s="87"/>
      <c r="J62" s="79" t="b">
        <f>AND($C$9=2017,746.25&gt;=$G$26,552.78&lt;=$G$26)</f>
        <v>0</v>
      </c>
      <c r="K62" s="79"/>
      <c r="L62" s="81">
        <f>J62*497.5</f>
        <v>0</v>
      </c>
      <c r="M62" s="85"/>
      <c r="N62" s="85"/>
      <c r="O62" s="63"/>
      <c r="P62" s="27"/>
      <c r="Q62"/>
      <c r="R62"/>
      <c r="S62"/>
      <c r="T62"/>
      <c r="U62" s="27"/>
      <c r="V62"/>
    </row>
    <row r="63" spans="1:24" x14ac:dyDescent="0.2">
      <c r="B63" s="1"/>
      <c r="C63" s="1"/>
      <c r="F63" s="27"/>
      <c r="I63" s="87"/>
      <c r="J63" s="79" t="b">
        <f>AND($C$9=2017,$G$26&lt;=552.77)</f>
        <v>0</v>
      </c>
      <c r="K63" s="79"/>
      <c r="L63" s="81">
        <f>J63*$G$26*0.9</f>
        <v>0</v>
      </c>
      <c r="M63" s="85"/>
      <c r="N63" s="85"/>
      <c r="O63" s="63"/>
      <c r="P63" s="27"/>
      <c r="U63" s="27"/>
      <c r="W63" s="3"/>
      <c r="X63" s="3"/>
    </row>
    <row r="64" spans="1:24" x14ac:dyDescent="0.2">
      <c r="B64" s="1"/>
      <c r="C64" s="1"/>
      <c r="F64" s="27"/>
      <c r="I64" s="87"/>
      <c r="J64" s="79" t="b">
        <f>AND($C$9=2018,$G$26&gt;1537.5)</f>
        <v>0</v>
      </c>
      <c r="K64" s="79"/>
      <c r="L64" s="81">
        <f>J64*1025</f>
        <v>0</v>
      </c>
      <c r="M64" s="85"/>
      <c r="N64" s="85"/>
      <c r="O64" s="63"/>
      <c r="P64" s="27"/>
      <c r="U64" s="27"/>
    </row>
    <row r="65" spans="2:21" x14ac:dyDescent="0.2">
      <c r="B65" s="1"/>
      <c r="C65" s="1"/>
      <c r="F65" s="27"/>
      <c r="I65" s="87"/>
      <c r="J65" s="79" t="b">
        <f>AND($C$9=2018,1537.5&gt;=$G$26,768.76&lt;=$G$26)</f>
        <v>0</v>
      </c>
      <c r="K65" s="79"/>
      <c r="L65" s="81">
        <f>J65*$G$26*(2/3)</f>
        <v>0</v>
      </c>
      <c r="M65" s="85"/>
      <c r="N65" s="85"/>
      <c r="O65" s="63"/>
      <c r="P65" s="27"/>
      <c r="U65" s="27"/>
    </row>
    <row r="66" spans="2:21" x14ac:dyDescent="0.2">
      <c r="B66" s="1"/>
      <c r="C66" s="1"/>
      <c r="F66" s="27"/>
      <c r="I66" s="87"/>
      <c r="J66" s="79" t="b">
        <f>AND($C$9=2018,768.75&gt;=$G$26,569.44&lt;=$G$26)</f>
        <v>0</v>
      </c>
      <c r="K66" s="79"/>
      <c r="L66" s="81">
        <f>J66*512.5</f>
        <v>0</v>
      </c>
      <c r="M66" s="85"/>
      <c r="N66" s="85"/>
      <c r="O66" s="63"/>
      <c r="P66" s="27"/>
      <c r="U66" s="27"/>
    </row>
    <row r="67" spans="2:21" x14ac:dyDescent="0.2">
      <c r="B67" s="1"/>
      <c r="C67" s="1"/>
      <c r="I67" s="87"/>
      <c r="J67" s="79" t="b">
        <f>AND($C$9=2018,$G$26&lt;=569.43)</f>
        <v>0</v>
      </c>
      <c r="K67" s="79"/>
      <c r="L67" s="81">
        <f>J67*$G$26*0.9</f>
        <v>0</v>
      </c>
      <c r="M67" s="85"/>
      <c r="N67" s="85"/>
      <c r="O67" s="63"/>
    </row>
    <row r="68" spans="2:21" x14ac:dyDescent="0.2">
      <c r="B68" s="1"/>
      <c r="C68" s="1"/>
      <c r="I68" s="87"/>
      <c r="J68" s="79" t="b">
        <f>AND($C$9=2019,$G$26&gt;1573.5)</f>
        <v>0</v>
      </c>
      <c r="K68" s="79"/>
      <c r="L68" s="81">
        <f>J68*1049</f>
        <v>0</v>
      </c>
      <c r="M68" s="85"/>
      <c r="N68" s="85"/>
      <c r="O68" s="63"/>
    </row>
    <row r="69" spans="2:21" x14ac:dyDescent="0.2">
      <c r="B69" s="1"/>
      <c r="C69" s="1"/>
      <c r="I69" s="87"/>
      <c r="J69" s="79" t="b">
        <f>AND($C$9=2019,1573.5&gt;=$G$26,786.76&lt;=$G$26)</f>
        <v>0</v>
      </c>
      <c r="K69" s="79"/>
      <c r="L69" s="81">
        <f>J69*$G$26*(2/3)</f>
        <v>0</v>
      </c>
      <c r="M69" s="85"/>
      <c r="N69" s="85"/>
      <c r="O69" s="63"/>
    </row>
    <row r="70" spans="2:21" x14ac:dyDescent="0.2">
      <c r="B70" s="1"/>
      <c r="C70" s="1"/>
      <c r="I70" s="87"/>
      <c r="J70" s="79" t="b">
        <f>AND($C$9=2019,786.75&gt;=$G$26,582.78&lt;=$G$26)</f>
        <v>0</v>
      </c>
      <c r="K70" s="79"/>
      <c r="L70" s="81">
        <f>J70*524.5</f>
        <v>0</v>
      </c>
      <c r="M70" s="85"/>
      <c r="N70" s="85"/>
      <c r="O70" s="63"/>
    </row>
    <row r="71" spans="2:21" x14ac:dyDescent="0.2">
      <c r="B71" s="1"/>
      <c r="C71" s="1"/>
      <c r="I71" s="87"/>
      <c r="J71" s="79" t="b">
        <f>AND($C$9=2019,$G$26&lt;=582.77)</f>
        <v>0</v>
      </c>
      <c r="K71" s="79"/>
      <c r="L71" s="81">
        <f>J71*$G$26*0.9</f>
        <v>0</v>
      </c>
      <c r="M71" s="85"/>
      <c r="N71" s="63"/>
      <c r="O71" s="63"/>
    </row>
    <row r="72" spans="2:21" x14ac:dyDescent="0.2">
      <c r="B72" s="1"/>
      <c r="C72" s="1"/>
      <c r="I72" s="87"/>
      <c r="J72" s="79" t="b">
        <f>AND($C$9=2020,$G$26&gt;1621.5)</f>
        <v>0</v>
      </c>
      <c r="K72" s="79"/>
      <c r="L72" s="81">
        <f>J72*1081</f>
        <v>0</v>
      </c>
      <c r="M72" s="85"/>
      <c r="N72" s="63"/>
      <c r="O72" s="63"/>
    </row>
    <row r="73" spans="2:21" x14ac:dyDescent="0.2">
      <c r="B73" s="1"/>
      <c r="C73" s="1"/>
      <c r="I73" s="87"/>
      <c r="J73" s="79" t="b">
        <f>AND($C$9=2020,1621.5&gt;=$G$26,810.76&lt;=$G$26)</f>
        <v>0</v>
      </c>
      <c r="K73" s="79"/>
      <c r="L73" s="81">
        <f>J73*$G$26*(2/3)</f>
        <v>0</v>
      </c>
      <c r="M73" s="85"/>
      <c r="N73" s="63"/>
      <c r="O73" s="63"/>
    </row>
    <row r="74" spans="2:21" x14ac:dyDescent="0.2">
      <c r="B74" s="1"/>
      <c r="C74" s="1"/>
      <c r="I74" s="87"/>
      <c r="J74" s="79" t="b">
        <f>AND($C$9=2020,810.75&gt;=$G$26,600.56&lt;=$G$26)</f>
        <v>0</v>
      </c>
      <c r="K74" s="79"/>
      <c r="L74" s="81">
        <f>J74*540.5</f>
        <v>0</v>
      </c>
      <c r="M74" s="85"/>
      <c r="N74" s="63"/>
      <c r="O74" s="63"/>
    </row>
    <row r="75" spans="2:21" x14ac:dyDescent="0.2">
      <c r="I75" s="87"/>
      <c r="J75" s="79" t="b">
        <f>AND($C$9=2020,$G$26&lt;=600.55)</f>
        <v>0</v>
      </c>
      <c r="K75" s="79"/>
      <c r="L75" s="81">
        <f>J75*$G$26*0.9</f>
        <v>0</v>
      </c>
      <c r="M75" s="85"/>
      <c r="N75" s="63"/>
      <c r="O75" s="63"/>
    </row>
    <row r="76" spans="2:21" x14ac:dyDescent="0.2">
      <c r="I76" s="63"/>
      <c r="J76" s="85"/>
      <c r="K76" s="72"/>
      <c r="L76" s="85"/>
      <c r="M76" s="85"/>
      <c r="N76" s="63"/>
      <c r="O76" s="63"/>
    </row>
    <row r="77" spans="2:21" x14ac:dyDescent="0.2">
      <c r="I77" s="63"/>
      <c r="J77" s="85"/>
      <c r="K77" s="72"/>
      <c r="L77" s="85"/>
      <c r="M77" s="85"/>
      <c r="N77" s="63"/>
      <c r="O77" s="63"/>
    </row>
    <row r="78" spans="2:21" x14ac:dyDescent="0.2">
      <c r="I78" s="63"/>
      <c r="J78" s="85"/>
      <c r="K78" s="72"/>
      <c r="L78" s="85"/>
      <c r="M78" s="85"/>
      <c r="N78" s="63"/>
      <c r="O78" s="63"/>
    </row>
    <row r="79" spans="2:21" x14ac:dyDescent="0.2">
      <c r="I79" s="63"/>
      <c r="J79" s="85"/>
      <c r="K79" s="72"/>
      <c r="L79" s="85"/>
      <c r="M79" s="85"/>
      <c r="N79" s="63"/>
      <c r="O79" s="63"/>
    </row>
    <row r="80" spans="2:21" x14ac:dyDescent="0.2">
      <c r="I80" s="63"/>
      <c r="J80" s="85"/>
      <c r="K80" s="72"/>
      <c r="L80" s="85"/>
      <c r="M80" s="85"/>
      <c r="N80" s="63"/>
      <c r="O80" s="63"/>
    </row>
    <row r="81" spans="9:15" x14ac:dyDescent="0.2">
      <c r="I81" s="63"/>
      <c r="J81" s="85"/>
      <c r="K81" s="72"/>
      <c r="L81" s="85"/>
      <c r="M81" s="85"/>
      <c r="N81" s="63"/>
      <c r="O81" s="63"/>
    </row>
    <row r="82" spans="9:15" x14ac:dyDescent="0.2">
      <c r="I82" s="63"/>
      <c r="J82" s="85"/>
      <c r="K82" s="72"/>
      <c r="L82" s="85"/>
      <c r="M82" s="85"/>
      <c r="N82" s="63"/>
      <c r="O82" s="63"/>
    </row>
    <row r="83" spans="9:15" x14ac:dyDescent="0.2">
      <c r="I83" s="63"/>
      <c r="J83" s="85"/>
      <c r="K83" s="72"/>
      <c r="L83" s="85"/>
      <c r="M83" s="85"/>
      <c r="N83" s="63"/>
      <c r="O83" s="63"/>
    </row>
    <row r="84" spans="9:15" x14ac:dyDescent="0.2">
      <c r="I84" s="63"/>
      <c r="J84" s="85"/>
      <c r="K84" s="72"/>
      <c r="L84" s="85"/>
      <c r="M84" s="85"/>
      <c r="N84" s="63"/>
      <c r="O84" s="63"/>
    </row>
    <row r="85" spans="9:15" x14ac:dyDescent="0.2">
      <c r="I85" s="63"/>
      <c r="J85" s="85"/>
      <c r="K85" s="72"/>
      <c r="L85" s="85"/>
      <c r="M85" s="85"/>
      <c r="N85" s="63"/>
      <c r="O85" s="63"/>
    </row>
    <row r="86" spans="9:15" x14ac:dyDescent="0.2">
      <c r="I86" s="63"/>
      <c r="J86" s="85"/>
      <c r="K86" s="72"/>
      <c r="L86" s="85"/>
      <c r="M86" s="85"/>
      <c r="N86" s="63"/>
      <c r="O86" s="63"/>
    </row>
    <row r="87" spans="9:15" x14ac:dyDescent="0.2">
      <c r="I87" s="63"/>
      <c r="J87" s="85"/>
      <c r="K87" s="72"/>
      <c r="L87" s="85"/>
      <c r="M87" s="85"/>
      <c r="N87" s="63"/>
      <c r="O87" s="63"/>
    </row>
    <row r="88" spans="9:15" x14ac:dyDescent="0.2">
      <c r="I88" s="63"/>
      <c r="J88" s="85"/>
      <c r="K88" s="72"/>
      <c r="L88" s="85"/>
      <c r="M88" s="85"/>
      <c r="N88" s="63"/>
      <c r="O88" s="63"/>
    </row>
    <row r="89" spans="9:15" x14ac:dyDescent="0.2">
      <c r="I89" s="63"/>
      <c r="J89" s="85"/>
      <c r="K89" s="72"/>
      <c r="L89" s="85"/>
      <c r="M89" s="85"/>
      <c r="N89" s="63"/>
      <c r="O89" s="63"/>
    </row>
    <row r="90" spans="9:15" x14ac:dyDescent="0.2">
      <c r="I90" s="63"/>
      <c r="J90" s="85"/>
      <c r="K90" s="72"/>
      <c r="L90" s="85"/>
      <c r="M90" s="85"/>
      <c r="N90" s="63"/>
      <c r="O90" s="63"/>
    </row>
    <row r="91" spans="9:15" x14ac:dyDescent="0.2">
      <c r="I91" s="63"/>
      <c r="J91" s="85"/>
      <c r="K91" s="72"/>
      <c r="L91" s="85"/>
      <c r="M91" s="85"/>
      <c r="N91" s="63"/>
      <c r="O91" s="63"/>
    </row>
    <row r="92" spans="9:15" x14ac:dyDescent="0.2">
      <c r="I92" s="63"/>
      <c r="J92" s="85"/>
      <c r="K92" s="72"/>
      <c r="L92" s="85"/>
      <c r="M92" s="85"/>
      <c r="N92" s="63"/>
      <c r="O92" s="63"/>
    </row>
    <row r="93" spans="9:15" x14ac:dyDescent="0.2">
      <c r="I93" s="63"/>
      <c r="J93" s="63"/>
      <c r="K93" s="78"/>
      <c r="L93" s="63"/>
      <c r="M93" s="63"/>
      <c r="N93" s="63"/>
      <c r="O93" s="63"/>
    </row>
    <row r="94" spans="9:15" x14ac:dyDescent="0.2">
      <c r="I94" s="63"/>
      <c r="J94" s="63"/>
      <c r="K94" s="78"/>
      <c r="L94" s="63"/>
      <c r="M94" s="63"/>
      <c r="N94" s="63"/>
      <c r="O94" s="63"/>
    </row>
    <row r="95" spans="9:15" x14ac:dyDescent="0.2">
      <c r="I95" s="63"/>
      <c r="J95" s="63"/>
      <c r="K95" s="78"/>
      <c r="L95" s="63"/>
      <c r="M95" s="63"/>
      <c r="N95" s="63"/>
      <c r="O95" s="63"/>
    </row>
    <row r="96" spans="9:15" x14ac:dyDescent="0.2">
      <c r="I96" s="63"/>
      <c r="J96" s="63"/>
      <c r="K96" s="78"/>
      <c r="L96" s="63"/>
      <c r="M96" s="63"/>
      <c r="N96" s="63"/>
      <c r="O96" s="63"/>
    </row>
    <row r="97" spans="9:15" x14ac:dyDescent="0.2">
      <c r="I97" s="63"/>
      <c r="J97" s="63"/>
      <c r="K97" s="78"/>
      <c r="L97" s="63"/>
      <c r="M97" s="63"/>
      <c r="N97" s="63"/>
      <c r="O97" s="63"/>
    </row>
    <row r="98" spans="9:15" x14ac:dyDescent="0.2">
      <c r="I98" s="63"/>
      <c r="J98" s="63"/>
      <c r="K98" s="78"/>
      <c r="L98" s="63"/>
      <c r="M98" s="63"/>
      <c r="N98" s="63"/>
      <c r="O98" s="63"/>
    </row>
    <row r="99" spans="9:15" x14ac:dyDescent="0.2">
      <c r="I99" s="63"/>
      <c r="J99" s="63"/>
      <c r="K99" s="78"/>
      <c r="L99" s="63"/>
      <c r="M99" s="63"/>
      <c r="N99" s="63"/>
      <c r="O99" s="63"/>
    </row>
    <row r="100" spans="9:15" x14ac:dyDescent="0.2">
      <c r="I100" s="63"/>
      <c r="J100" s="63"/>
      <c r="K100" s="78"/>
      <c r="L100" s="63"/>
      <c r="M100" s="63"/>
      <c r="N100" s="63"/>
      <c r="O100" s="63"/>
    </row>
    <row r="101" spans="9:15" x14ac:dyDescent="0.2">
      <c r="I101" s="63"/>
      <c r="J101" s="63"/>
      <c r="K101" s="78"/>
      <c r="L101" s="63"/>
      <c r="M101" s="63"/>
      <c r="N101" s="63"/>
      <c r="O101" s="63"/>
    </row>
    <row r="102" spans="9:15" x14ac:dyDescent="0.2">
      <c r="I102" s="63"/>
      <c r="J102" s="63"/>
      <c r="K102" s="78"/>
      <c r="L102" s="63"/>
      <c r="M102" s="63"/>
      <c r="N102" s="63"/>
      <c r="O102" s="63"/>
    </row>
    <row r="103" spans="9:15" x14ac:dyDescent="0.2">
      <c r="I103" s="63"/>
      <c r="J103" s="63"/>
      <c r="K103" s="78"/>
      <c r="L103" s="63"/>
      <c r="M103" s="63"/>
      <c r="N103" s="63"/>
      <c r="O103" s="63"/>
    </row>
    <row r="104" spans="9:15" x14ac:dyDescent="0.2">
      <c r="I104" s="63"/>
      <c r="J104" s="63"/>
      <c r="K104" s="78"/>
      <c r="L104" s="63"/>
      <c r="M104" s="63"/>
      <c r="N104" s="63"/>
      <c r="O104" s="63"/>
    </row>
    <row r="105" spans="9:15" x14ac:dyDescent="0.2">
      <c r="I105" s="63"/>
      <c r="J105" s="63"/>
      <c r="K105" s="78"/>
      <c r="L105" s="63"/>
      <c r="M105" s="63"/>
      <c r="N105" s="63"/>
      <c r="O105" s="63"/>
    </row>
    <row r="106" spans="9:15" x14ac:dyDescent="0.2">
      <c r="I106" s="63"/>
      <c r="J106" s="63"/>
      <c r="K106" s="78"/>
      <c r="L106" s="63"/>
      <c r="M106" s="63"/>
      <c r="N106" s="63"/>
      <c r="O106" s="63"/>
    </row>
    <row r="107" spans="9:15" x14ac:dyDescent="0.2">
      <c r="I107" s="63"/>
      <c r="J107" s="63"/>
      <c r="K107" s="78"/>
      <c r="L107" s="63"/>
      <c r="M107" s="63"/>
      <c r="N107" s="63"/>
      <c r="O107" s="63"/>
    </row>
    <row r="108" spans="9:15" x14ac:dyDescent="0.2">
      <c r="I108" s="63"/>
      <c r="J108" s="63"/>
      <c r="K108" s="78"/>
      <c r="L108" s="63"/>
      <c r="M108" s="63"/>
      <c r="N108" s="63"/>
      <c r="O108" s="63"/>
    </row>
    <row r="109" spans="9:15" x14ac:dyDescent="0.2">
      <c r="I109" s="63"/>
      <c r="J109" s="63"/>
      <c r="K109" s="78"/>
      <c r="L109" s="63"/>
      <c r="M109" s="63"/>
      <c r="N109" s="63"/>
      <c r="O109" s="63"/>
    </row>
    <row r="110" spans="9:15" x14ac:dyDescent="0.2">
      <c r="I110" s="63"/>
      <c r="J110" s="63"/>
      <c r="K110" s="78"/>
      <c r="L110" s="63"/>
      <c r="M110" s="63"/>
      <c r="N110" s="63"/>
      <c r="O110" s="63"/>
    </row>
    <row r="111" spans="9:15" x14ac:dyDescent="0.2">
      <c r="I111" s="63"/>
      <c r="J111" s="63"/>
      <c r="K111" s="78"/>
      <c r="L111" s="63"/>
      <c r="M111" s="63"/>
      <c r="N111" s="63"/>
      <c r="O111" s="63"/>
    </row>
    <row r="112" spans="9:15" x14ac:dyDescent="0.2">
      <c r="I112" s="63"/>
      <c r="J112" s="63"/>
      <c r="K112" s="78"/>
      <c r="L112" s="63"/>
      <c r="M112" s="63"/>
      <c r="N112" s="63"/>
      <c r="O112" s="63"/>
    </row>
    <row r="113" spans="9:15" x14ac:dyDescent="0.2">
      <c r="I113" s="63"/>
      <c r="J113" s="63"/>
      <c r="K113" s="78"/>
      <c r="L113" s="63"/>
      <c r="M113" s="63"/>
      <c r="N113" s="63"/>
      <c r="O113" s="63"/>
    </row>
    <row r="114" spans="9:15" x14ac:dyDescent="0.2">
      <c r="I114" s="63"/>
      <c r="J114" s="63"/>
      <c r="K114" s="78"/>
      <c r="L114" s="63"/>
      <c r="M114" s="63"/>
      <c r="N114" s="63"/>
      <c r="O114" s="63"/>
    </row>
    <row r="115" spans="9:15" x14ac:dyDescent="0.2">
      <c r="I115" s="63"/>
      <c r="J115" s="63"/>
      <c r="K115" s="78"/>
      <c r="L115" s="63"/>
      <c r="M115" s="63"/>
      <c r="N115" s="63"/>
      <c r="O115" s="63"/>
    </row>
    <row r="116" spans="9:15" x14ac:dyDescent="0.2">
      <c r="I116" s="63"/>
      <c r="J116" s="63"/>
      <c r="K116" s="78"/>
      <c r="L116" s="63"/>
      <c r="M116" s="63"/>
      <c r="N116" s="63"/>
      <c r="O116" s="63"/>
    </row>
    <row r="117" spans="9:15" x14ac:dyDescent="0.2">
      <c r="I117" s="63"/>
      <c r="J117" s="63"/>
      <c r="K117" s="78"/>
      <c r="L117" s="63"/>
      <c r="M117" s="63"/>
      <c r="N117" s="63"/>
      <c r="O117" s="63"/>
    </row>
    <row r="118" spans="9:15" x14ac:dyDescent="0.2">
      <c r="I118" s="63"/>
      <c r="J118" s="63"/>
      <c r="K118" s="78"/>
      <c r="L118" s="63"/>
      <c r="M118" s="63"/>
      <c r="N118" s="63"/>
      <c r="O118" s="63"/>
    </row>
    <row r="119" spans="9:15" x14ac:dyDescent="0.2">
      <c r="I119" s="63"/>
      <c r="J119" s="63"/>
      <c r="K119" s="78"/>
      <c r="L119" s="63"/>
      <c r="M119" s="63"/>
      <c r="N119" s="63"/>
      <c r="O119" s="63"/>
    </row>
    <row r="120" spans="9:15" x14ac:dyDescent="0.2">
      <c r="I120" s="63"/>
      <c r="J120" s="63"/>
      <c r="K120" s="78"/>
      <c r="L120" s="63"/>
      <c r="M120" s="63"/>
      <c r="N120" s="63"/>
      <c r="O120" s="63"/>
    </row>
    <row r="121" spans="9:15" x14ac:dyDescent="0.2">
      <c r="I121" s="63"/>
      <c r="J121" s="63"/>
      <c r="K121" s="78"/>
      <c r="L121" s="63"/>
      <c r="M121" s="63"/>
      <c r="N121" s="63"/>
      <c r="O121" s="63"/>
    </row>
    <row r="122" spans="9:15" x14ac:dyDescent="0.2">
      <c r="I122" s="63"/>
      <c r="J122" s="63"/>
      <c r="K122" s="78"/>
      <c r="L122" s="63"/>
      <c r="M122" s="63"/>
      <c r="N122" s="63"/>
      <c r="O122" s="63"/>
    </row>
    <row r="123" spans="9:15" x14ac:dyDescent="0.2">
      <c r="I123" s="63"/>
      <c r="J123" s="63"/>
      <c r="K123" s="78"/>
      <c r="L123" s="63"/>
      <c r="M123" s="63"/>
      <c r="N123" s="63"/>
      <c r="O123" s="63"/>
    </row>
    <row r="124" spans="9:15" x14ac:dyDescent="0.2">
      <c r="I124" s="63"/>
      <c r="J124" s="63"/>
      <c r="K124" s="78"/>
      <c r="L124" s="63"/>
      <c r="M124" s="63"/>
      <c r="N124" s="63"/>
      <c r="O124" s="63"/>
    </row>
    <row r="125" spans="9:15" x14ac:dyDescent="0.2">
      <c r="I125" s="63"/>
      <c r="J125" s="63"/>
      <c r="K125" s="78"/>
      <c r="L125" s="63"/>
      <c r="M125" s="63"/>
      <c r="N125" s="63"/>
      <c r="O125" s="63"/>
    </row>
    <row r="126" spans="9:15" x14ac:dyDescent="0.2">
      <c r="I126" s="63"/>
      <c r="J126" s="63"/>
      <c r="K126" s="78"/>
      <c r="L126" s="63"/>
      <c r="M126" s="63"/>
      <c r="N126" s="63"/>
      <c r="O126" s="63"/>
    </row>
    <row r="127" spans="9:15" x14ac:dyDescent="0.2">
      <c r="I127" s="63"/>
      <c r="J127" s="63"/>
      <c r="K127" s="78"/>
      <c r="L127" s="63"/>
      <c r="M127" s="63"/>
      <c r="N127" s="63"/>
      <c r="O127" s="63"/>
    </row>
    <row r="128" spans="9:15" x14ac:dyDescent="0.2">
      <c r="I128" s="63"/>
      <c r="J128" s="63"/>
      <c r="K128" s="78"/>
      <c r="L128" s="63"/>
      <c r="M128" s="63"/>
      <c r="N128" s="63"/>
      <c r="O128" s="63"/>
    </row>
    <row r="129" spans="9:15" x14ac:dyDescent="0.2">
      <c r="I129" s="63"/>
      <c r="J129" s="63"/>
      <c r="K129" s="78"/>
      <c r="L129" s="63"/>
      <c r="M129" s="63"/>
      <c r="N129" s="63"/>
      <c r="O129" s="63"/>
    </row>
    <row r="130" spans="9:15" x14ac:dyDescent="0.2">
      <c r="I130" s="63"/>
      <c r="J130" s="63"/>
      <c r="K130" s="78"/>
      <c r="L130" s="63"/>
      <c r="M130" s="63"/>
      <c r="N130" s="63"/>
      <c r="O130" s="63"/>
    </row>
    <row r="131" spans="9:15" x14ac:dyDescent="0.2">
      <c r="I131" s="63"/>
      <c r="J131" s="63"/>
      <c r="K131" s="78"/>
      <c r="L131" s="63"/>
      <c r="M131" s="63"/>
      <c r="N131" s="63"/>
      <c r="O131" s="63"/>
    </row>
    <row r="132" spans="9:15" x14ac:dyDescent="0.2">
      <c r="I132" s="63"/>
      <c r="J132" s="63"/>
      <c r="K132" s="78"/>
      <c r="L132" s="63"/>
      <c r="M132" s="63"/>
      <c r="N132" s="63"/>
      <c r="O132" s="63"/>
    </row>
    <row r="133" spans="9:15" x14ac:dyDescent="0.2">
      <c r="I133" s="63"/>
      <c r="J133" s="63"/>
      <c r="K133" s="78"/>
      <c r="L133" s="63"/>
      <c r="M133" s="63"/>
      <c r="N133" s="63"/>
      <c r="O133" s="63"/>
    </row>
    <row r="134" spans="9:15" x14ac:dyDescent="0.2">
      <c r="I134" s="63"/>
      <c r="J134" s="63"/>
      <c r="K134" s="78"/>
      <c r="L134" s="63"/>
      <c r="M134" s="63"/>
      <c r="N134" s="63"/>
      <c r="O134" s="63"/>
    </row>
    <row r="135" spans="9:15" x14ac:dyDescent="0.2">
      <c r="I135" s="63"/>
      <c r="J135" s="63"/>
      <c r="K135" s="78"/>
      <c r="L135" s="63"/>
      <c r="M135" s="63"/>
      <c r="N135" s="63"/>
      <c r="O135" s="63"/>
    </row>
    <row r="136" spans="9:15" x14ac:dyDescent="0.2">
      <c r="I136" s="63"/>
      <c r="J136" s="63"/>
      <c r="K136" s="78"/>
      <c r="L136" s="63"/>
      <c r="M136" s="63"/>
      <c r="N136" s="63"/>
      <c r="O136" s="63"/>
    </row>
    <row r="137" spans="9:15" x14ac:dyDescent="0.2">
      <c r="I137" s="63"/>
      <c r="J137" s="63"/>
      <c r="K137" s="78"/>
      <c r="L137" s="63"/>
      <c r="M137" s="63"/>
      <c r="N137" s="63"/>
      <c r="O137" s="63"/>
    </row>
    <row r="138" spans="9:15" x14ac:dyDescent="0.2">
      <c r="I138" s="63"/>
      <c r="J138" s="63"/>
      <c r="K138" s="78"/>
      <c r="L138" s="63"/>
      <c r="M138" s="63"/>
      <c r="N138" s="63"/>
      <c r="O138" s="63"/>
    </row>
    <row r="139" spans="9:15" x14ac:dyDescent="0.2">
      <c r="I139" s="63"/>
      <c r="J139" s="63"/>
      <c r="K139" s="78"/>
      <c r="L139" s="63"/>
      <c r="M139" s="63"/>
      <c r="N139" s="63"/>
      <c r="O139" s="63"/>
    </row>
    <row r="140" spans="9:15" x14ac:dyDescent="0.2">
      <c r="I140" s="63"/>
      <c r="J140" s="63"/>
      <c r="K140" s="78"/>
      <c r="L140" s="63"/>
      <c r="M140" s="63"/>
      <c r="N140" s="63"/>
      <c r="O140" s="63"/>
    </row>
    <row r="141" spans="9:15" x14ac:dyDescent="0.2">
      <c r="I141" s="63"/>
      <c r="J141" s="63"/>
      <c r="K141" s="78"/>
      <c r="L141" s="63"/>
      <c r="M141" s="63"/>
      <c r="N141" s="63"/>
      <c r="O141" s="63"/>
    </row>
    <row r="142" spans="9:15" x14ac:dyDescent="0.2">
      <c r="I142" s="63"/>
      <c r="J142" s="63"/>
      <c r="K142" s="78"/>
      <c r="L142" s="63"/>
      <c r="M142" s="63"/>
      <c r="N142" s="63"/>
      <c r="O142" s="63"/>
    </row>
    <row r="143" spans="9:15" x14ac:dyDescent="0.2">
      <c r="I143" s="63"/>
      <c r="J143" s="63"/>
      <c r="K143" s="78"/>
      <c r="L143" s="63"/>
      <c r="M143" s="63"/>
      <c r="N143" s="63"/>
      <c r="O143" s="63"/>
    </row>
    <row r="144" spans="9:15" x14ac:dyDescent="0.2">
      <c r="I144" s="63"/>
      <c r="J144" s="63"/>
      <c r="K144" s="78"/>
      <c r="L144" s="63"/>
      <c r="M144" s="63"/>
      <c r="N144" s="63"/>
      <c r="O144" s="63"/>
    </row>
    <row r="145" spans="9:15" x14ac:dyDescent="0.2">
      <c r="I145" s="63"/>
      <c r="J145" s="63"/>
      <c r="K145" s="78"/>
      <c r="L145" s="63"/>
      <c r="M145" s="63"/>
      <c r="N145" s="63"/>
      <c r="O145" s="63"/>
    </row>
    <row r="146" spans="9:15" x14ac:dyDescent="0.2">
      <c r="I146" s="63"/>
      <c r="J146" s="63"/>
      <c r="K146" s="78"/>
      <c r="L146" s="63"/>
      <c r="M146" s="63"/>
      <c r="N146" s="63"/>
      <c r="O146" s="63"/>
    </row>
    <row r="147" spans="9:15" x14ac:dyDescent="0.2">
      <c r="I147" s="63"/>
      <c r="J147" s="63"/>
      <c r="K147" s="78"/>
      <c r="L147" s="63"/>
      <c r="M147" s="63"/>
      <c r="N147" s="63"/>
      <c r="O147" s="63"/>
    </row>
    <row r="148" spans="9:15" x14ac:dyDescent="0.2">
      <c r="I148" s="63"/>
      <c r="J148" s="63"/>
      <c r="K148" s="78"/>
      <c r="L148" s="63"/>
      <c r="M148" s="63"/>
      <c r="N148" s="63"/>
      <c r="O148" s="63"/>
    </row>
    <row r="149" spans="9:15" x14ac:dyDescent="0.2">
      <c r="I149" s="63"/>
      <c r="J149" s="63"/>
      <c r="K149" s="78"/>
      <c r="L149" s="63"/>
      <c r="M149" s="63"/>
      <c r="N149" s="63"/>
      <c r="O149" s="63"/>
    </row>
    <row r="150" spans="9:15" x14ac:dyDescent="0.2">
      <c r="I150" s="63"/>
      <c r="J150" s="63"/>
      <c r="K150" s="78"/>
      <c r="L150" s="63"/>
      <c r="M150" s="63"/>
      <c r="N150" s="63"/>
      <c r="O150" s="63"/>
    </row>
    <row r="151" spans="9:15" x14ac:dyDescent="0.2">
      <c r="I151" s="63"/>
      <c r="J151" s="63"/>
      <c r="K151" s="78"/>
      <c r="L151" s="63"/>
      <c r="M151" s="63"/>
      <c r="N151" s="63"/>
      <c r="O151" s="63"/>
    </row>
    <row r="152" spans="9:15" x14ac:dyDescent="0.2">
      <c r="I152" s="63"/>
      <c r="J152" s="63"/>
      <c r="K152" s="78"/>
      <c r="L152" s="63"/>
      <c r="M152" s="63"/>
      <c r="N152" s="63"/>
      <c r="O152" s="63"/>
    </row>
    <row r="153" spans="9:15" x14ac:dyDescent="0.2">
      <c r="I153" s="63"/>
      <c r="J153" s="63"/>
      <c r="K153" s="78"/>
      <c r="L153" s="63"/>
      <c r="M153" s="63"/>
      <c r="N153" s="63"/>
      <c r="O153" s="63"/>
    </row>
    <row r="154" spans="9:15" x14ac:dyDescent="0.2">
      <c r="I154" s="63"/>
      <c r="J154" s="63"/>
      <c r="K154" s="78"/>
      <c r="L154" s="63"/>
      <c r="M154" s="63"/>
      <c r="N154" s="63"/>
      <c r="O154" s="63"/>
    </row>
    <row r="155" spans="9:15" x14ac:dyDescent="0.2">
      <c r="I155" s="63"/>
      <c r="J155" s="63"/>
      <c r="K155" s="78"/>
      <c r="L155" s="63"/>
      <c r="M155" s="63"/>
      <c r="N155" s="63"/>
      <c r="O155" s="63"/>
    </row>
    <row r="156" spans="9:15" x14ac:dyDescent="0.2">
      <c r="I156" s="63"/>
      <c r="J156" s="63"/>
      <c r="K156" s="78"/>
      <c r="L156" s="63"/>
      <c r="M156" s="63"/>
      <c r="N156" s="63"/>
      <c r="O156" s="63"/>
    </row>
    <row r="157" spans="9:15" x14ac:dyDescent="0.2">
      <c r="I157" s="75"/>
      <c r="J157" s="75"/>
      <c r="K157" s="76"/>
      <c r="L157" s="75"/>
      <c r="M157" s="75"/>
    </row>
    <row r="158" spans="9:15" x14ac:dyDescent="0.2">
      <c r="I158" s="75"/>
      <c r="J158" s="75"/>
      <c r="K158" s="76"/>
      <c r="L158" s="75"/>
      <c r="M158" s="75"/>
    </row>
    <row r="159" spans="9:15" x14ac:dyDescent="0.2">
      <c r="I159" s="75"/>
      <c r="J159" s="75"/>
      <c r="K159" s="76"/>
      <c r="L159" s="75"/>
      <c r="M159" s="75"/>
    </row>
    <row r="160" spans="9:15" x14ac:dyDescent="0.2">
      <c r="I160" s="75"/>
      <c r="J160" s="75"/>
      <c r="K160" s="76"/>
      <c r="L160" s="75"/>
      <c r="M160" s="75"/>
    </row>
    <row r="161" spans="9:13" x14ac:dyDescent="0.2">
      <c r="I161" s="75"/>
      <c r="J161" s="75"/>
      <c r="K161" s="76"/>
      <c r="L161" s="75"/>
      <c r="M161" s="75"/>
    </row>
    <row r="162" spans="9:13" x14ac:dyDescent="0.2">
      <c r="I162" s="75"/>
      <c r="J162" s="75"/>
      <c r="K162" s="76"/>
      <c r="L162" s="75"/>
      <c r="M162" s="75"/>
    </row>
    <row r="163" spans="9:13" x14ac:dyDescent="0.2">
      <c r="I163" s="75"/>
      <c r="J163" s="75"/>
      <c r="K163" s="76"/>
      <c r="L163" s="75"/>
      <c r="M163" s="75"/>
    </row>
    <row r="164" spans="9:13" x14ac:dyDescent="0.2">
      <c r="I164" s="75"/>
      <c r="J164" s="75"/>
      <c r="K164" s="76"/>
      <c r="L164" s="75"/>
      <c r="M164" s="75"/>
    </row>
    <row r="165" spans="9:13" x14ac:dyDescent="0.2">
      <c r="I165" s="75"/>
      <c r="J165" s="75"/>
      <c r="K165" s="76"/>
      <c r="L165" s="75"/>
      <c r="M165" s="75"/>
    </row>
    <row r="166" spans="9:13" x14ac:dyDescent="0.2">
      <c r="I166" s="75"/>
      <c r="J166" s="75"/>
      <c r="K166" s="76"/>
      <c r="L166" s="75"/>
      <c r="M166" s="75"/>
    </row>
    <row r="167" spans="9:13" x14ac:dyDescent="0.2">
      <c r="I167" s="75"/>
      <c r="J167" s="75"/>
      <c r="K167" s="76"/>
      <c r="L167" s="75"/>
      <c r="M167" s="75"/>
    </row>
    <row r="168" spans="9:13" x14ac:dyDescent="0.2">
      <c r="I168" s="75"/>
      <c r="J168" s="75"/>
      <c r="K168" s="76"/>
      <c r="L168" s="75"/>
      <c r="M168" s="75"/>
    </row>
    <row r="169" spans="9:13" x14ac:dyDescent="0.2">
      <c r="I169" s="75"/>
      <c r="J169" s="75"/>
      <c r="K169" s="76"/>
      <c r="L169" s="75"/>
      <c r="M169" s="75"/>
    </row>
    <row r="170" spans="9:13" x14ac:dyDescent="0.2">
      <c r="I170" s="75"/>
      <c r="J170" s="75"/>
      <c r="K170" s="76"/>
      <c r="L170" s="75"/>
      <c r="M170" s="75"/>
    </row>
    <row r="171" spans="9:13" x14ac:dyDescent="0.2">
      <c r="I171" s="75"/>
      <c r="J171" s="75"/>
      <c r="K171" s="76"/>
      <c r="L171" s="75"/>
      <c r="M171" s="75"/>
    </row>
    <row r="172" spans="9:13" x14ac:dyDescent="0.2">
      <c r="I172" s="75"/>
      <c r="J172" s="75"/>
      <c r="K172" s="76"/>
      <c r="L172" s="75"/>
      <c r="M172" s="75"/>
    </row>
    <row r="173" spans="9:13" x14ac:dyDescent="0.2">
      <c r="I173" s="75"/>
      <c r="J173" s="75"/>
      <c r="K173" s="76"/>
      <c r="L173" s="75"/>
      <c r="M173" s="75"/>
    </row>
    <row r="174" spans="9:13" x14ac:dyDescent="0.2">
      <c r="I174" s="75"/>
      <c r="J174" s="75"/>
      <c r="K174" s="76"/>
      <c r="L174" s="75"/>
      <c r="M174" s="75"/>
    </row>
    <row r="175" spans="9:13" x14ac:dyDescent="0.2">
      <c r="I175" s="75"/>
      <c r="J175" s="75"/>
      <c r="K175" s="76"/>
      <c r="L175" s="75"/>
      <c r="M175" s="75"/>
    </row>
    <row r="176" spans="9:13" x14ac:dyDescent="0.2">
      <c r="I176" s="75"/>
      <c r="J176" s="75"/>
      <c r="K176" s="76"/>
      <c r="L176" s="75"/>
      <c r="M176" s="75"/>
    </row>
    <row r="177" spans="9:13" x14ac:dyDescent="0.2">
      <c r="I177" s="75"/>
      <c r="J177" s="75"/>
      <c r="K177" s="76"/>
      <c r="L177" s="75"/>
      <c r="M177" s="75"/>
    </row>
    <row r="178" spans="9:13" x14ac:dyDescent="0.2">
      <c r="I178" s="75"/>
      <c r="J178" s="75"/>
      <c r="K178" s="76"/>
      <c r="L178" s="75"/>
      <c r="M178" s="75"/>
    </row>
    <row r="179" spans="9:13" x14ac:dyDescent="0.2">
      <c r="I179" s="75"/>
      <c r="J179" s="75"/>
      <c r="K179" s="76"/>
      <c r="L179" s="75"/>
      <c r="M179" s="75"/>
    </row>
    <row r="180" spans="9:13" x14ac:dyDescent="0.2">
      <c r="I180" s="75"/>
      <c r="J180" s="75"/>
      <c r="K180" s="76"/>
      <c r="L180" s="75"/>
      <c r="M180" s="75"/>
    </row>
    <row r="181" spans="9:13" x14ac:dyDescent="0.2">
      <c r="I181" s="75"/>
      <c r="J181" s="75"/>
      <c r="K181" s="76"/>
      <c r="L181" s="75"/>
      <c r="M181" s="75"/>
    </row>
    <row r="182" spans="9:13" x14ac:dyDescent="0.2">
      <c r="I182" s="75"/>
      <c r="J182" s="75"/>
      <c r="K182" s="76"/>
      <c r="L182" s="75"/>
      <c r="M182" s="75"/>
    </row>
    <row r="183" spans="9:13" x14ac:dyDescent="0.2">
      <c r="I183" s="75"/>
      <c r="J183" s="75"/>
      <c r="K183" s="76"/>
      <c r="L183" s="75"/>
      <c r="M183" s="75"/>
    </row>
    <row r="184" spans="9:13" x14ac:dyDescent="0.2">
      <c r="I184" s="75"/>
      <c r="J184" s="75"/>
      <c r="K184" s="76"/>
      <c r="L184" s="75"/>
      <c r="M184" s="75"/>
    </row>
    <row r="185" spans="9:13" x14ac:dyDescent="0.2">
      <c r="I185" s="75"/>
      <c r="J185" s="75"/>
      <c r="K185" s="76"/>
      <c r="L185" s="75"/>
      <c r="M185" s="75"/>
    </row>
    <row r="186" spans="9:13" x14ac:dyDescent="0.2">
      <c r="I186" s="75"/>
      <c r="J186" s="75"/>
      <c r="K186" s="76"/>
      <c r="L186" s="75"/>
      <c r="M186" s="75"/>
    </row>
    <row r="187" spans="9:13" x14ac:dyDescent="0.2">
      <c r="I187" s="75"/>
      <c r="J187" s="75"/>
      <c r="K187" s="76"/>
      <c r="L187" s="75"/>
      <c r="M187" s="75"/>
    </row>
    <row r="188" spans="9:13" x14ac:dyDescent="0.2">
      <c r="I188" s="75"/>
      <c r="J188" s="75"/>
      <c r="K188" s="76"/>
      <c r="L188" s="75"/>
      <c r="M188" s="75"/>
    </row>
    <row r="189" spans="9:13" x14ac:dyDescent="0.2">
      <c r="I189" s="75"/>
      <c r="J189" s="75"/>
      <c r="K189" s="76"/>
      <c r="L189" s="75"/>
      <c r="M189" s="75"/>
    </row>
    <row r="190" spans="9:13" x14ac:dyDescent="0.2">
      <c r="I190" s="75"/>
      <c r="J190" s="75"/>
      <c r="K190" s="76"/>
      <c r="L190" s="75"/>
      <c r="M190" s="75"/>
    </row>
    <row r="191" spans="9:13" x14ac:dyDescent="0.2">
      <c r="I191" s="75"/>
      <c r="J191" s="75"/>
      <c r="K191" s="76"/>
      <c r="L191" s="75"/>
      <c r="M191" s="75"/>
    </row>
    <row r="192" spans="9:13" x14ac:dyDescent="0.2">
      <c r="I192" s="75"/>
      <c r="J192" s="75"/>
      <c r="K192" s="76"/>
      <c r="L192" s="75"/>
      <c r="M192" s="75"/>
    </row>
    <row r="193" spans="9:13" x14ac:dyDescent="0.2">
      <c r="I193" s="75"/>
      <c r="J193" s="75"/>
      <c r="K193" s="76"/>
      <c r="L193" s="75"/>
      <c r="M193" s="75"/>
    </row>
    <row r="194" spans="9:13" x14ac:dyDescent="0.2">
      <c r="I194" s="75"/>
      <c r="J194" s="75"/>
      <c r="K194" s="76"/>
      <c r="L194" s="75"/>
      <c r="M194" s="75"/>
    </row>
    <row r="195" spans="9:13" x14ac:dyDescent="0.2">
      <c r="I195" s="75"/>
      <c r="J195" s="75"/>
      <c r="K195" s="76"/>
      <c r="L195" s="75"/>
      <c r="M195" s="75"/>
    </row>
    <row r="196" spans="9:13" x14ac:dyDescent="0.2">
      <c r="I196" s="75"/>
      <c r="J196" s="75"/>
      <c r="K196" s="76"/>
      <c r="L196" s="75"/>
      <c r="M196" s="75"/>
    </row>
    <row r="197" spans="9:13" x14ac:dyDescent="0.2">
      <c r="I197" s="75"/>
      <c r="J197" s="75"/>
      <c r="K197" s="76"/>
      <c r="L197" s="75"/>
      <c r="M197" s="75"/>
    </row>
    <row r="198" spans="9:13" x14ac:dyDescent="0.2">
      <c r="I198" s="75"/>
      <c r="J198" s="75"/>
      <c r="K198" s="76"/>
      <c r="L198" s="75"/>
      <c r="M198" s="75"/>
    </row>
    <row r="199" spans="9:13" x14ac:dyDescent="0.2">
      <c r="I199" s="75"/>
      <c r="J199" s="75"/>
      <c r="K199" s="76"/>
      <c r="L199" s="75"/>
      <c r="M199" s="75"/>
    </row>
    <row r="200" spans="9:13" x14ac:dyDescent="0.2">
      <c r="I200" s="75"/>
      <c r="J200" s="75"/>
      <c r="K200" s="76"/>
      <c r="L200" s="75"/>
      <c r="M200" s="75"/>
    </row>
    <row r="201" spans="9:13" x14ac:dyDescent="0.2">
      <c r="I201" s="75"/>
      <c r="J201" s="75"/>
      <c r="K201" s="76"/>
      <c r="L201" s="75"/>
      <c r="M201" s="75"/>
    </row>
    <row r="202" spans="9:13" x14ac:dyDescent="0.2">
      <c r="I202" s="75"/>
      <c r="J202" s="75"/>
      <c r="K202" s="76"/>
      <c r="L202" s="75"/>
      <c r="M202" s="75"/>
    </row>
    <row r="203" spans="9:13" x14ac:dyDescent="0.2">
      <c r="I203" s="75"/>
      <c r="J203" s="75"/>
      <c r="K203" s="76"/>
      <c r="L203" s="75"/>
      <c r="M203" s="75"/>
    </row>
    <row r="204" spans="9:13" x14ac:dyDescent="0.2">
      <c r="I204" s="75"/>
      <c r="J204" s="75"/>
      <c r="K204" s="76"/>
      <c r="L204" s="75"/>
      <c r="M204" s="75"/>
    </row>
    <row r="205" spans="9:13" x14ac:dyDescent="0.2">
      <c r="I205" s="75"/>
      <c r="J205" s="75"/>
      <c r="K205" s="76"/>
      <c r="L205" s="75"/>
      <c r="M205" s="75"/>
    </row>
    <row r="206" spans="9:13" x14ac:dyDescent="0.2">
      <c r="I206" s="75"/>
      <c r="J206" s="75"/>
      <c r="K206" s="76"/>
      <c r="L206" s="75"/>
      <c r="M206" s="75"/>
    </row>
    <row r="207" spans="9:13" x14ac:dyDescent="0.2">
      <c r="I207" s="75"/>
      <c r="J207" s="75"/>
      <c r="K207" s="76"/>
      <c r="L207" s="75"/>
      <c r="M207" s="75"/>
    </row>
    <row r="208" spans="9:13" x14ac:dyDescent="0.2">
      <c r="I208" s="75"/>
      <c r="J208" s="75"/>
      <c r="K208" s="76"/>
      <c r="L208" s="75"/>
      <c r="M208" s="75"/>
    </row>
    <row r="209" spans="9:13" x14ac:dyDescent="0.2">
      <c r="I209" s="75"/>
      <c r="J209" s="75"/>
      <c r="K209" s="76"/>
      <c r="L209" s="75"/>
      <c r="M209" s="75"/>
    </row>
    <row r="210" spans="9:13" x14ac:dyDescent="0.2">
      <c r="I210" s="75"/>
      <c r="J210" s="75"/>
      <c r="K210" s="76"/>
      <c r="L210" s="75"/>
      <c r="M210" s="75"/>
    </row>
    <row r="211" spans="9:13" x14ac:dyDescent="0.2">
      <c r="I211" s="75"/>
      <c r="J211" s="75"/>
      <c r="K211" s="76"/>
      <c r="L211" s="75"/>
      <c r="M211" s="75"/>
    </row>
    <row r="212" spans="9:13" x14ac:dyDescent="0.2">
      <c r="I212" s="75"/>
      <c r="J212" s="75"/>
      <c r="K212" s="76"/>
      <c r="L212" s="75"/>
      <c r="M212" s="75"/>
    </row>
    <row r="213" spans="9:13" x14ac:dyDescent="0.2">
      <c r="I213" s="75"/>
      <c r="J213" s="75"/>
      <c r="K213" s="76"/>
      <c r="L213" s="75"/>
      <c r="M213" s="75"/>
    </row>
    <row r="214" spans="9:13" x14ac:dyDescent="0.2">
      <c r="I214" s="75"/>
      <c r="J214" s="75"/>
      <c r="K214" s="76"/>
      <c r="L214" s="75"/>
      <c r="M214" s="75"/>
    </row>
    <row r="215" spans="9:13" x14ac:dyDescent="0.2">
      <c r="I215" s="75"/>
      <c r="J215" s="75"/>
      <c r="K215" s="76"/>
      <c r="L215" s="75"/>
      <c r="M215" s="75"/>
    </row>
    <row r="216" spans="9:13" x14ac:dyDescent="0.2">
      <c r="I216" s="75"/>
      <c r="J216" s="75"/>
      <c r="K216" s="76"/>
      <c r="L216" s="75"/>
      <c r="M216" s="75"/>
    </row>
    <row r="217" spans="9:13" x14ac:dyDescent="0.2">
      <c r="I217" s="75"/>
      <c r="J217" s="75"/>
      <c r="K217" s="76"/>
      <c r="L217" s="75"/>
      <c r="M217" s="75"/>
    </row>
    <row r="218" spans="9:13" x14ac:dyDescent="0.2">
      <c r="I218" s="75"/>
      <c r="J218" s="75"/>
      <c r="K218" s="76"/>
      <c r="L218" s="75"/>
      <c r="M218" s="75"/>
    </row>
    <row r="219" spans="9:13" x14ac:dyDescent="0.2">
      <c r="I219" s="75"/>
      <c r="J219" s="75"/>
      <c r="K219" s="76"/>
      <c r="L219" s="75"/>
      <c r="M219" s="75"/>
    </row>
    <row r="220" spans="9:13" x14ac:dyDescent="0.2">
      <c r="I220" s="75"/>
      <c r="J220" s="75"/>
      <c r="K220" s="76"/>
      <c r="L220" s="75"/>
      <c r="M220" s="75"/>
    </row>
    <row r="221" spans="9:13" x14ac:dyDescent="0.2">
      <c r="I221" s="75"/>
      <c r="J221" s="75"/>
      <c r="K221" s="76"/>
      <c r="L221" s="75"/>
      <c r="M221" s="75"/>
    </row>
    <row r="222" spans="9:13" x14ac:dyDescent="0.2">
      <c r="I222" s="75"/>
      <c r="J222" s="75"/>
      <c r="K222" s="76"/>
      <c r="L222" s="75"/>
      <c r="M222" s="75"/>
    </row>
    <row r="223" spans="9:13" x14ac:dyDescent="0.2">
      <c r="I223" s="75"/>
      <c r="J223" s="75"/>
      <c r="K223" s="76"/>
      <c r="L223" s="75"/>
      <c r="M223" s="75"/>
    </row>
    <row r="224" spans="9:13" x14ac:dyDescent="0.2">
      <c r="I224" s="75"/>
      <c r="J224" s="75"/>
      <c r="K224" s="76"/>
      <c r="L224" s="75"/>
      <c r="M224" s="75"/>
    </row>
    <row r="225" spans="9:13" x14ac:dyDescent="0.2">
      <c r="I225" s="75"/>
      <c r="J225" s="75"/>
      <c r="K225" s="76"/>
      <c r="L225" s="75"/>
      <c r="M225" s="75"/>
    </row>
    <row r="226" spans="9:13" x14ac:dyDescent="0.2">
      <c r="I226" s="75"/>
      <c r="J226" s="75"/>
      <c r="K226" s="76"/>
      <c r="L226" s="75"/>
      <c r="M226" s="75"/>
    </row>
    <row r="227" spans="9:13" x14ac:dyDescent="0.2">
      <c r="I227" s="75"/>
      <c r="J227" s="75"/>
      <c r="K227" s="76"/>
      <c r="L227" s="75"/>
      <c r="M227" s="75"/>
    </row>
    <row r="228" spans="9:13" x14ac:dyDescent="0.2">
      <c r="I228" s="75"/>
      <c r="J228" s="75"/>
      <c r="K228" s="76"/>
      <c r="L228" s="75"/>
      <c r="M228" s="75"/>
    </row>
    <row r="229" spans="9:13" x14ac:dyDescent="0.2">
      <c r="I229" s="75"/>
      <c r="J229" s="75"/>
      <c r="K229" s="76"/>
      <c r="L229" s="75"/>
      <c r="M229" s="75"/>
    </row>
    <row r="230" spans="9:13" x14ac:dyDescent="0.2">
      <c r="I230" s="75"/>
      <c r="J230" s="75"/>
      <c r="K230" s="76"/>
      <c r="L230" s="75"/>
      <c r="M230" s="75"/>
    </row>
    <row r="231" spans="9:13" x14ac:dyDescent="0.2">
      <c r="I231" s="75"/>
      <c r="J231" s="75"/>
      <c r="K231" s="76"/>
      <c r="L231" s="75"/>
      <c r="M231" s="75"/>
    </row>
    <row r="232" spans="9:13" x14ac:dyDescent="0.2">
      <c r="I232" s="75"/>
      <c r="J232" s="75"/>
      <c r="K232" s="76"/>
      <c r="L232" s="75"/>
      <c r="M232" s="75"/>
    </row>
    <row r="233" spans="9:13" x14ac:dyDescent="0.2">
      <c r="I233" s="75"/>
      <c r="J233" s="75"/>
      <c r="K233" s="76"/>
      <c r="L233" s="75"/>
      <c r="M233" s="75"/>
    </row>
    <row r="234" spans="9:13" x14ac:dyDescent="0.2">
      <c r="I234" s="75"/>
      <c r="J234" s="75"/>
      <c r="K234" s="76"/>
      <c r="L234" s="75"/>
      <c r="M234" s="75"/>
    </row>
    <row r="235" spans="9:13" x14ac:dyDescent="0.2">
      <c r="I235" s="75"/>
      <c r="J235" s="75"/>
      <c r="K235" s="76"/>
      <c r="L235" s="75"/>
      <c r="M235" s="75"/>
    </row>
    <row r="236" spans="9:13" x14ac:dyDescent="0.2">
      <c r="I236" s="75"/>
      <c r="J236" s="75"/>
      <c r="K236" s="76"/>
      <c r="L236" s="75"/>
      <c r="M236" s="75"/>
    </row>
    <row r="237" spans="9:13" x14ac:dyDescent="0.2">
      <c r="I237" s="75"/>
      <c r="J237" s="75"/>
      <c r="K237" s="76"/>
      <c r="L237" s="75"/>
      <c r="M237" s="75"/>
    </row>
    <row r="238" spans="9:13" x14ac:dyDescent="0.2">
      <c r="I238" s="75"/>
      <c r="J238" s="75"/>
      <c r="K238" s="76"/>
      <c r="L238" s="75"/>
      <c r="M238" s="75"/>
    </row>
    <row r="239" spans="9:13" x14ac:dyDescent="0.2">
      <c r="I239" s="75"/>
      <c r="J239" s="75"/>
      <c r="K239" s="76"/>
      <c r="L239" s="75"/>
      <c r="M239" s="75"/>
    </row>
    <row r="240" spans="9:13" x14ac:dyDescent="0.2">
      <c r="I240" s="75"/>
      <c r="J240" s="75"/>
      <c r="K240" s="76"/>
      <c r="L240" s="75"/>
      <c r="M240" s="75"/>
    </row>
    <row r="241" spans="9:13" x14ac:dyDescent="0.2">
      <c r="I241" s="75"/>
      <c r="J241" s="75"/>
      <c r="K241" s="76"/>
      <c r="L241" s="75"/>
      <c r="M241" s="75"/>
    </row>
    <row r="242" spans="9:13" x14ac:dyDescent="0.2">
      <c r="I242" s="75"/>
      <c r="J242" s="75"/>
      <c r="K242" s="76"/>
      <c r="L242" s="75"/>
      <c r="M242" s="75"/>
    </row>
    <row r="243" spans="9:13" x14ac:dyDescent="0.2">
      <c r="I243" s="75"/>
      <c r="J243" s="75"/>
      <c r="K243" s="76"/>
      <c r="L243" s="75"/>
      <c r="M243" s="75"/>
    </row>
    <row r="244" spans="9:13" x14ac:dyDescent="0.2">
      <c r="I244" s="75"/>
      <c r="J244" s="75"/>
      <c r="K244" s="76"/>
      <c r="L244" s="75"/>
      <c r="M244" s="75"/>
    </row>
    <row r="245" spans="9:13" x14ac:dyDescent="0.2">
      <c r="I245" s="75"/>
      <c r="J245" s="75"/>
      <c r="K245" s="76"/>
      <c r="L245" s="75"/>
      <c r="M245" s="75"/>
    </row>
    <row r="246" spans="9:13" x14ac:dyDescent="0.2">
      <c r="I246" s="75"/>
      <c r="J246" s="75"/>
      <c r="K246" s="76"/>
      <c r="L246" s="75"/>
      <c r="M246" s="75"/>
    </row>
    <row r="247" spans="9:13" x14ac:dyDescent="0.2">
      <c r="I247" s="75"/>
      <c r="J247" s="75"/>
      <c r="K247" s="76"/>
      <c r="L247" s="75"/>
      <c r="M247" s="75"/>
    </row>
    <row r="248" spans="9:13" x14ac:dyDescent="0.2">
      <c r="I248" s="75"/>
      <c r="J248" s="75"/>
      <c r="K248" s="76"/>
      <c r="L248" s="75"/>
      <c r="M248" s="75"/>
    </row>
    <row r="249" spans="9:13" x14ac:dyDescent="0.2">
      <c r="I249" s="75"/>
      <c r="J249" s="75"/>
      <c r="K249" s="76"/>
      <c r="L249" s="75"/>
      <c r="M249" s="75"/>
    </row>
    <row r="250" spans="9:13" x14ac:dyDescent="0.2">
      <c r="I250" s="75"/>
      <c r="J250" s="75"/>
      <c r="K250" s="76"/>
      <c r="L250" s="75"/>
      <c r="M250" s="75"/>
    </row>
    <row r="251" spans="9:13" x14ac:dyDescent="0.2">
      <c r="I251" s="75"/>
      <c r="J251" s="75"/>
      <c r="K251" s="76"/>
      <c r="L251" s="75"/>
      <c r="M251" s="75"/>
    </row>
    <row r="252" spans="9:13" x14ac:dyDescent="0.2">
      <c r="I252" s="75"/>
      <c r="J252" s="75"/>
      <c r="K252" s="76"/>
      <c r="L252" s="75"/>
      <c r="M252" s="75"/>
    </row>
    <row r="253" spans="9:13" x14ac:dyDescent="0.2">
      <c r="I253" s="75"/>
      <c r="J253" s="75"/>
      <c r="K253" s="76"/>
      <c r="L253" s="75"/>
      <c r="M253" s="75"/>
    </row>
    <row r="254" spans="9:13" x14ac:dyDescent="0.2">
      <c r="I254" s="75"/>
      <c r="J254" s="75"/>
      <c r="K254" s="76"/>
      <c r="L254" s="75"/>
      <c r="M254" s="75"/>
    </row>
    <row r="255" spans="9:13" x14ac:dyDescent="0.2">
      <c r="I255" s="75"/>
      <c r="J255" s="75"/>
      <c r="K255" s="76"/>
      <c r="L255" s="75"/>
      <c r="M255" s="75"/>
    </row>
    <row r="256" spans="9:13" x14ac:dyDescent="0.2">
      <c r="I256" s="75"/>
      <c r="J256" s="75"/>
      <c r="K256" s="76"/>
      <c r="L256" s="75"/>
      <c r="M256" s="75"/>
    </row>
    <row r="257" spans="9:13" x14ac:dyDescent="0.2">
      <c r="I257" s="75"/>
      <c r="J257" s="75"/>
      <c r="K257" s="76"/>
      <c r="L257" s="75"/>
      <c r="M257" s="75"/>
    </row>
    <row r="258" spans="9:13" x14ac:dyDescent="0.2">
      <c r="I258" s="75"/>
      <c r="J258" s="75"/>
      <c r="K258" s="76"/>
      <c r="L258" s="75"/>
      <c r="M258" s="75"/>
    </row>
    <row r="259" spans="9:13" x14ac:dyDescent="0.2">
      <c r="I259" s="75"/>
      <c r="J259" s="75"/>
      <c r="K259" s="76"/>
      <c r="L259" s="75"/>
      <c r="M259" s="75"/>
    </row>
    <row r="260" spans="9:13" x14ac:dyDescent="0.2">
      <c r="I260" s="75"/>
      <c r="J260" s="75"/>
      <c r="K260" s="76"/>
      <c r="L260" s="75"/>
      <c r="M260" s="75"/>
    </row>
    <row r="261" spans="9:13" x14ac:dyDescent="0.2">
      <c r="I261" s="75"/>
      <c r="J261" s="75"/>
      <c r="K261" s="76"/>
      <c r="L261" s="75"/>
      <c r="M261" s="75"/>
    </row>
    <row r="262" spans="9:13" x14ac:dyDescent="0.2">
      <c r="I262" s="75"/>
      <c r="J262" s="75"/>
      <c r="K262" s="76"/>
      <c r="L262" s="75"/>
      <c r="M262" s="75"/>
    </row>
    <row r="263" spans="9:13" x14ac:dyDescent="0.2">
      <c r="I263" s="75"/>
      <c r="J263" s="75"/>
      <c r="K263" s="76"/>
      <c r="L263" s="75"/>
      <c r="M263" s="75"/>
    </row>
    <row r="264" spans="9:13" x14ac:dyDescent="0.2">
      <c r="I264" s="75"/>
      <c r="J264" s="75"/>
      <c r="K264" s="76"/>
      <c r="L264" s="75"/>
      <c r="M264" s="75"/>
    </row>
    <row r="265" spans="9:13" x14ac:dyDescent="0.2">
      <c r="I265" s="75"/>
      <c r="J265" s="75"/>
      <c r="K265" s="76"/>
      <c r="L265" s="75"/>
      <c r="M265" s="75"/>
    </row>
    <row r="266" spans="9:13" x14ac:dyDescent="0.2">
      <c r="I266" s="75"/>
      <c r="J266" s="75"/>
      <c r="K266" s="76"/>
      <c r="L266" s="75"/>
      <c r="M266" s="75"/>
    </row>
    <row r="267" spans="9:13" x14ac:dyDescent="0.2">
      <c r="I267" s="75"/>
      <c r="J267" s="75"/>
      <c r="K267" s="76"/>
      <c r="L267" s="75"/>
      <c r="M267" s="75"/>
    </row>
    <row r="268" spans="9:13" x14ac:dyDescent="0.2">
      <c r="I268" s="75"/>
      <c r="J268" s="75"/>
      <c r="K268" s="76"/>
      <c r="L268" s="75"/>
      <c r="M268" s="75"/>
    </row>
    <row r="269" spans="9:13" x14ac:dyDescent="0.2">
      <c r="I269" s="75"/>
      <c r="J269" s="75"/>
      <c r="K269" s="76"/>
      <c r="L269" s="75"/>
      <c r="M269" s="75"/>
    </row>
    <row r="270" spans="9:13" x14ac:dyDescent="0.2">
      <c r="I270" s="75"/>
      <c r="J270" s="75"/>
      <c r="K270" s="76"/>
      <c r="L270" s="75"/>
      <c r="M270" s="75"/>
    </row>
    <row r="271" spans="9:13" x14ac:dyDescent="0.2">
      <c r="I271" s="75"/>
      <c r="J271" s="75"/>
      <c r="K271" s="76"/>
      <c r="L271" s="75"/>
      <c r="M271" s="75"/>
    </row>
    <row r="272" spans="9:13" x14ac:dyDescent="0.2">
      <c r="I272" s="75"/>
      <c r="J272" s="75"/>
      <c r="K272" s="76"/>
      <c r="L272" s="75"/>
      <c r="M272" s="75"/>
    </row>
    <row r="273" spans="9:13" x14ac:dyDescent="0.2">
      <c r="I273" s="75"/>
      <c r="J273" s="75"/>
      <c r="K273" s="76"/>
      <c r="L273" s="75"/>
      <c r="M273" s="75"/>
    </row>
    <row r="274" spans="9:13" x14ac:dyDescent="0.2">
      <c r="I274" s="75"/>
      <c r="J274" s="75"/>
      <c r="K274" s="76"/>
      <c r="L274" s="75"/>
      <c r="M274" s="75"/>
    </row>
    <row r="275" spans="9:13" x14ac:dyDescent="0.2">
      <c r="I275" s="75"/>
      <c r="J275" s="75"/>
      <c r="K275" s="76"/>
      <c r="L275" s="75"/>
      <c r="M275" s="75"/>
    </row>
    <row r="276" spans="9:13" x14ac:dyDescent="0.2">
      <c r="I276" s="75"/>
      <c r="J276" s="75"/>
      <c r="K276" s="76"/>
      <c r="L276" s="75"/>
      <c r="M276" s="75"/>
    </row>
    <row r="277" spans="9:13" x14ac:dyDescent="0.2">
      <c r="I277" s="75"/>
      <c r="J277" s="75"/>
      <c r="K277" s="76"/>
      <c r="L277" s="75"/>
      <c r="M277" s="75"/>
    </row>
    <row r="278" spans="9:13" x14ac:dyDescent="0.2">
      <c r="I278" s="75"/>
      <c r="J278" s="75"/>
      <c r="K278" s="76"/>
      <c r="L278" s="75"/>
      <c r="M278" s="75"/>
    </row>
    <row r="279" spans="9:13" x14ac:dyDescent="0.2">
      <c r="I279" s="75"/>
      <c r="J279" s="75"/>
      <c r="K279" s="76"/>
      <c r="L279" s="75"/>
      <c r="M279" s="75"/>
    </row>
    <row r="280" spans="9:13" x14ac:dyDescent="0.2">
      <c r="I280" s="75"/>
      <c r="J280" s="75"/>
      <c r="K280" s="76"/>
      <c r="L280" s="75"/>
      <c r="M280" s="75"/>
    </row>
    <row r="281" spans="9:13" x14ac:dyDescent="0.2">
      <c r="I281" s="75"/>
      <c r="J281" s="75"/>
      <c r="K281" s="76"/>
      <c r="L281" s="75"/>
      <c r="M281" s="75"/>
    </row>
    <row r="282" spans="9:13" x14ac:dyDescent="0.2">
      <c r="I282" s="75"/>
      <c r="J282" s="75"/>
      <c r="K282" s="76"/>
      <c r="L282" s="75"/>
      <c r="M282" s="75"/>
    </row>
    <row r="283" spans="9:13" x14ac:dyDescent="0.2">
      <c r="I283" s="75"/>
      <c r="J283" s="75"/>
      <c r="K283" s="76"/>
      <c r="L283" s="75"/>
      <c r="M283" s="75"/>
    </row>
    <row r="284" spans="9:13" x14ac:dyDescent="0.2">
      <c r="I284" s="75"/>
      <c r="J284" s="75"/>
      <c r="K284" s="76"/>
      <c r="L284" s="75"/>
      <c r="M284" s="75"/>
    </row>
    <row r="285" spans="9:13" x14ac:dyDescent="0.2">
      <c r="I285" s="75"/>
      <c r="J285" s="75"/>
      <c r="K285" s="76"/>
      <c r="L285" s="75"/>
      <c r="M285" s="75"/>
    </row>
    <row r="286" spans="9:13" x14ac:dyDescent="0.2">
      <c r="I286" s="75"/>
      <c r="J286" s="75"/>
      <c r="K286" s="76"/>
      <c r="L286" s="75"/>
      <c r="M286" s="75"/>
    </row>
    <row r="287" spans="9:13" x14ac:dyDescent="0.2">
      <c r="I287" s="75"/>
      <c r="J287" s="75"/>
      <c r="K287" s="76"/>
      <c r="L287" s="75"/>
      <c r="M287" s="75"/>
    </row>
    <row r="288" spans="9:13" x14ac:dyDescent="0.2">
      <c r="I288" s="75"/>
      <c r="J288" s="75"/>
      <c r="K288" s="76"/>
      <c r="L288" s="75"/>
      <c r="M288" s="75"/>
    </row>
    <row r="289" spans="9:13" x14ac:dyDescent="0.2">
      <c r="I289" s="75"/>
      <c r="J289" s="75"/>
      <c r="K289" s="76"/>
      <c r="L289" s="75"/>
      <c r="M289" s="75"/>
    </row>
    <row r="290" spans="9:13" x14ac:dyDescent="0.2">
      <c r="I290" s="75"/>
      <c r="J290" s="75"/>
      <c r="K290" s="76"/>
      <c r="L290" s="75"/>
      <c r="M290" s="75"/>
    </row>
    <row r="291" spans="9:13" x14ac:dyDescent="0.2">
      <c r="I291" s="75"/>
      <c r="J291" s="75"/>
      <c r="K291" s="76"/>
      <c r="L291" s="75"/>
      <c r="M291" s="75"/>
    </row>
    <row r="292" spans="9:13" x14ac:dyDescent="0.2">
      <c r="I292" s="75"/>
      <c r="J292" s="75"/>
      <c r="K292" s="76"/>
      <c r="L292" s="75"/>
      <c r="M292" s="75"/>
    </row>
    <row r="293" spans="9:13" x14ac:dyDescent="0.2">
      <c r="I293" s="75"/>
      <c r="J293" s="75"/>
      <c r="K293" s="76"/>
      <c r="L293" s="75"/>
      <c r="M293" s="75"/>
    </row>
    <row r="294" spans="9:13" x14ac:dyDescent="0.2">
      <c r="I294" s="75"/>
      <c r="J294" s="75"/>
      <c r="K294" s="76"/>
      <c r="L294" s="75"/>
      <c r="M294" s="75"/>
    </row>
    <row r="295" spans="9:13" x14ac:dyDescent="0.2">
      <c r="I295" s="75"/>
      <c r="J295" s="75"/>
      <c r="K295" s="76"/>
      <c r="L295" s="75"/>
      <c r="M295" s="75"/>
    </row>
    <row r="296" spans="9:13" x14ac:dyDescent="0.2">
      <c r="I296" s="75"/>
      <c r="J296" s="75"/>
      <c r="K296" s="76"/>
      <c r="L296" s="75"/>
      <c r="M296" s="75"/>
    </row>
    <row r="297" spans="9:13" x14ac:dyDescent="0.2">
      <c r="I297" s="75"/>
      <c r="J297" s="75"/>
      <c r="K297" s="76"/>
      <c r="L297" s="75"/>
      <c r="M297" s="75"/>
    </row>
    <row r="298" spans="9:13" x14ac:dyDescent="0.2">
      <c r="I298" s="75"/>
      <c r="J298" s="75"/>
      <c r="K298" s="76"/>
      <c r="L298" s="75"/>
      <c r="M298" s="75"/>
    </row>
    <row r="299" spans="9:13" x14ac:dyDescent="0.2">
      <c r="I299" s="75"/>
      <c r="J299" s="75"/>
      <c r="K299" s="76"/>
      <c r="L299" s="75"/>
      <c r="M299" s="75"/>
    </row>
    <row r="300" spans="9:13" x14ac:dyDescent="0.2">
      <c r="I300" s="75"/>
      <c r="J300" s="75"/>
      <c r="K300" s="76"/>
      <c r="L300" s="75"/>
      <c r="M300" s="75"/>
    </row>
    <row r="301" spans="9:13" x14ac:dyDescent="0.2">
      <c r="I301" s="75"/>
      <c r="J301" s="75"/>
      <c r="K301" s="76"/>
      <c r="L301" s="75"/>
      <c r="M301" s="75"/>
    </row>
    <row r="302" spans="9:13" x14ac:dyDescent="0.2">
      <c r="I302" s="75"/>
      <c r="J302" s="75"/>
      <c r="K302" s="76"/>
      <c r="L302" s="75"/>
      <c r="M302" s="75"/>
    </row>
    <row r="303" spans="9:13" x14ac:dyDescent="0.2">
      <c r="I303" s="75"/>
      <c r="J303" s="75"/>
      <c r="K303" s="76"/>
      <c r="L303" s="75"/>
      <c r="M303" s="75"/>
    </row>
    <row r="304" spans="9:13" x14ac:dyDescent="0.2">
      <c r="I304" s="75"/>
      <c r="J304" s="75"/>
      <c r="K304" s="76"/>
      <c r="L304" s="75"/>
      <c r="M304" s="75"/>
    </row>
    <row r="305" spans="9:13" x14ac:dyDescent="0.2">
      <c r="I305" s="75"/>
      <c r="J305" s="75"/>
      <c r="K305" s="76"/>
      <c r="L305" s="75"/>
      <c r="M305" s="75"/>
    </row>
    <row r="306" spans="9:13" x14ac:dyDescent="0.2">
      <c r="I306" s="75"/>
      <c r="J306" s="75"/>
      <c r="K306" s="76"/>
      <c r="L306" s="75"/>
      <c r="M306" s="75"/>
    </row>
    <row r="307" spans="9:13" x14ac:dyDescent="0.2">
      <c r="I307" s="75"/>
      <c r="J307" s="75"/>
      <c r="K307" s="76"/>
      <c r="L307" s="75"/>
      <c r="M307" s="75"/>
    </row>
    <row r="308" spans="9:13" x14ac:dyDescent="0.2">
      <c r="I308" s="75"/>
      <c r="J308" s="75"/>
      <c r="K308" s="76"/>
      <c r="L308" s="75"/>
      <c r="M308" s="75"/>
    </row>
    <row r="309" spans="9:13" x14ac:dyDescent="0.2">
      <c r="I309" s="75"/>
      <c r="J309" s="75"/>
      <c r="K309" s="76"/>
      <c r="L309" s="75"/>
      <c r="M309" s="75"/>
    </row>
    <row r="310" spans="9:13" x14ac:dyDescent="0.2">
      <c r="I310" s="75"/>
      <c r="J310" s="75"/>
      <c r="K310" s="76"/>
      <c r="L310" s="75"/>
      <c r="M310" s="75"/>
    </row>
    <row r="311" spans="9:13" x14ac:dyDescent="0.2">
      <c r="I311" s="75"/>
      <c r="J311" s="75"/>
      <c r="K311" s="76"/>
      <c r="L311" s="75"/>
      <c r="M311" s="75"/>
    </row>
    <row r="312" spans="9:13" x14ac:dyDescent="0.2">
      <c r="I312" s="75"/>
      <c r="J312" s="75"/>
      <c r="K312" s="76"/>
      <c r="L312" s="75"/>
      <c r="M312" s="75"/>
    </row>
    <row r="313" spans="9:13" x14ac:dyDescent="0.2">
      <c r="I313" s="75"/>
      <c r="J313" s="75"/>
      <c r="K313" s="76"/>
      <c r="L313" s="75"/>
      <c r="M313" s="75"/>
    </row>
    <row r="314" spans="9:13" x14ac:dyDescent="0.2">
      <c r="I314" s="75"/>
      <c r="J314" s="75"/>
      <c r="K314" s="76"/>
      <c r="L314" s="75"/>
      <c r="M314" s="75"/>
    </row>
    <row r="315" spans="9:13" x14ac:dyDescent="0.2">
      <c r="I315" s="75"/>
      <c r="J315" s="75"/>
      <c r="K315" s="76"/>
      <c r="L315" s="75"/>
      <c r="M315" s="75"/>
    </row>
    <row r="316" spans="9:13" x14ac:dyDescent="0.2">
      <c r="I316" s="75"/>
      <c r="J316" s="75"/>
      <c r="K316" s="76"/>
      <c r="L316" s="75"/>
      <c r="M316" s="75"/>
    </row>
    <row r="317" spans="9:13" x14ac:dyDescent="0.2">
      <c r="I317" s="75"/>
      <c r="J317" s="75"/>
      <c r="K317" s="76"/>
      <c r="L317" s="75"/>
      <c r="M317" s="75"/>
    </row>
    <row r="318" spans="9:13" x14ac:dyDescent="0.2">
      <c r="I318" s="75"/>
      <c r="J318" s="75"/>
      <c r="K318" s="76"/>
      <c r="L318" s="75"/>
      <c r="M318" s="75"/>
    </row>
    <row r="319" spans="9:13" x14ac:dyDescent="0.2">
      <c r="I319" s="75"/>
      <c r="J319" s="75"/>
      <c r="K319" s="76"/>
      <c r="L319" s="75"/>
      <c r="M319" s="75"/>
    </row>
    <row r="320" spans="9:13" x14ac:dyDescent="0.2">
      <c r="I320" s="75"/>
      <c r="J320" s="75"/>
      <c r="K320" s="76"/>
      <c r="L320" s="75"/>
      <c r="M320" s="75"/>
    </row>
    <row r="321" spans="9:13" x14ac:dyDescent="0.2">
      <c r="I321" s="75"/>
      <c r="J321" s="75"/>
      <c r="K321" s="76"/>
      <c r="L321" s="75"/>
      <c r="M321" s="75"/>
    </row>
    <row r="322" spans="9:13" x14ac:dyDescent="0.2">
      <c r="I322" s="75"/>
      <c r="J322" s="75"/>
      <c r="K322" s="76"/>
      <c r="L322" s="75"/>
      <c r="M322" s="75"/>
    </row>
    <row r="323" spans="9:13" x14ac:dyDescent="0.2">
      <c r="I323" s="75"/>
      <c r="J323" s="75"/>
      <c r="K323" s="76"/>
      <c r="L323" s="75"/>
      <c r="M323" s="75"/>
    </row>
    <row r="324" spans="9:13" x14ac:dyDescent="0.2">
      <c r="I324" s="75"/>
      <c r="J324" s="75"/>
      <c r="K324" s="76"/>
      <c r="L324" s="75"/>
      <c r="M324" s="75"/>
    </row>
    <row r="325" spans="9:13" x14ac:dyDescent="0.2">
      <c r="I325" s="75"/>
      <c r="J325" s="75"/>
      <c r="K325" s="76"/>
      <c r="L325" s="75"/>
      <c r="M325" s="75"/>
    </row>
    <row r="326" spans="9:13" x14ac:dyDescent="0.2">
      <c r="I326" s="75"/>
      <c r="J326" s="75"/>
      <c r="K326" s="76"/>
      <c r="L326" s="75"/>
      <c r="M326" s="75"/>
    </row>
    <row r="327" spans="9:13" x14ac:dyDescent="0.2">
      <c r="I327" s="75"/>
      <c r="J327" s="75"/>
      <c r="K327" s="76"/>
      <c r="L327" s="75"/>
      <c r="M327" s="75"/>
    </row>
    <row r="328" spans="9:13" x14ac:dyDescent="0.2">
      <c r="I328" s="75"/>
      <c r="J328" s="75"/>
      <c r="K328" s="76"/>
      <c r="L328" s="75"/>
      <c r="M328" s="75"/>
    </row>
    <row r="329" spans="9:13" x14ac:dyDescent="0.2">
      <c r="I329" s="75"/>
      <c r="J329" s="75"/>
      <c r="K329" s="76"/>
      <c r="L329" s="75"/>
      <c r="M329" s="75"/>
    </row>
    <row r="330" spans="9:13" x14ac:dyDescent="0.2">
      <c r="I330" s="75"/>
      <c r="J330" s="75"/>
      <c r="K330" s="76"/>
      <c r="L330" s="75"/>
      <c r="M330" s="75"/>
    </row>
    <row r="331" spans="9:13" x14ac:dyDescent="0.2">
      <c r="I331" s="75"/>
      <c r="J331" s="75"/>
      <c r="K331" s="76"/>
      <c r="L331" s="75"/>
      <c r="M331" s="75"/>
    </row>
    <row r="332" spans="9:13" x14ac:dyDescent="0.2">
      <c r="I332" s="75"/>
      <c r="J332" s="75"/>
      <c r="K332" s="76"/>
      <c r="L332" s="75"/>
      <c r="M332" s="75"/>
    </row>
    <row r="333" spans="9:13" x14ac:dyDescent="0.2">
      <c r="I333" s="75"/>
      <c r="J333" s="75"/>
      <c r="K333" s="76"/>
      <c r="L333" s="75"/>
      <c r="M333" s="75"/>
    </row>
    <row r="334" spans="9:13" x14ac:dyDescent="0.2">
      <c r="I334" s="75"/>
      <c r="J334" s="75"/>
      <c r="K334" s="76"/>
      <c r="L334" s="75"/>
      <c r="M334" s="75"/>
    </row>
    <row r="335" spans="9:13" x14ac:dyDescent="0.2">
      <c r="I335" s="75"/>
      <c r="J335" s="75"/>
      <c r="K335" s="76"/>
      <c r="L335" s="75"/>
      <c r="M335" s="75"/>
    </row>
    <row r="336" spans="9:13" x14ac:dyDescent="0.2">
      <c r="I336" s="75"/>
      <c r="J336" s="75"/>
      <c r="K336" s="76"/>
      <c r="L336" s="75"/>
      <c r="M336" s="75"/>
    </row>
    <row r="337" spans="9:13" x14ac:dyDescent="0.2">
      <c r="I337" s="75"/>
      <c r="J337" s="75"/>
      <c r="K337" s="76"/>
      <c r="L337" s="75"/>
      <c r="M337" s="75"/>
    </row>
    <row r="338" spans="9:13" x14ac:dyDescent="0.2">
      <c r="I338" s="75"/>
      <c r="J338" s="75"/>
      <c r="K338" s="76"/>
      <c r="L338" s="75"/>
      <c r="M338" s="75"/>
    </row>
    <row r="339" spans="9:13" x14ac:dyDescent="0.2">
      <c r="I339" s="75"/>
      <c r="J339" s="75"/>
      <c r="K339" s="76"/>
      <c r="L339" s="75"/>
      <c r="M339" s="75"/>
    </row>
    <row r="340" spans="9:13" x14ac:dyDescent="0.2">
      <c r="I340" s="75"/>
      <c r="J340" s="75"/>
      <c r="K340" s="76"/>
      <c r="L340" s="75"/>
      <c r="M340" s="75"/>
    </row>
    <row r="341" spans="9:13" x14ac:dyDescent="0.2">
      <c r="I341" s="75"/>
      <c r="J341" s="75"/>
      <c r="K341" s="76"/>
      <c r="L341" s="75"/>
      <c r="M341" s="75"/>
    </row>
    <row r="342" spans="9:13" x14ac:dyDescent="0.2">
      <c r="I342" s="75"/>
      <c r="J342" s="75"/>
      <c r="K342" s="76"/>
      <c r="L342" s="75"/>
      <c r="M342" s="75"/>
    </row>
    <row r="343" spans="9:13" x14ac:dyDescent="0.2">
      <c r="I343" s="75"/>
      <c r="J343" s="75"/>
      <c r="K343" s="76"/>
      <c r="L343" s="75"/>
      <c r="M343" s="75"/>
    </row>
    <row r="344" spans="9:13" x14ac:dyDescent="0.2">
      <c r="I344" s="75"/>
      <c r="J344" s="75"/>
      <c r="K344" s="76"/>
      <c r="L344" s="75"/>
      <c r="M344" s="75"/>
    </row>
    <row r="345" spans="9:13" x14ac:dyDescent="0.2">
      <c r="I345" s="75"/>
      <c r="J345" s="75"/>
      <c r="K345" s="76"/>
      <c r="L345" s="75"/>
      <c r="M345" s="75"/>
    </row>
    <row r="346" spans="9:13" x14ac:dyDescent="0.2">
      <c r="I346" s="75"/>
      <c r="J346" s="75"/>
      <c r="K346" s="76"/>
      <c r="L346" s="75"/>
      <c r="M346" s="75"/>
    </row>
    <row r="347" spans="9:13" x14ac:dyDescent="0.2">
      <c r="I347" s="75"/>
      <c r="J347" s="75"/>
      <c r="K347" s="76"/>
      <c r="L347" s="75"/>
      <c r="M347" s="75"/>
    </row>
    <row r="348" spans="9:13" x14ac:dyDescent="0.2">
      <c r="I348" s="75"/>
      <c r="J348" s="75"/>
      <c r="K348" s="76"/>
      <c r="L348" s="75"/>
      <c r="M348" s="75"/>
    </row>
    <row r="349" spans="9:13" x14ac:dyDescent="0.2">
      <c r="I349" s="75"/>
      <c r="J349" s="75"/>
      <c r="K349" s="76"/>
      <c r="L349" s="75"/>
      <c r="M349" s="75"/>
    </row>
    <row r="350" spans="9:13" x14ac:dyDescent="0.2">
      <c r="I350" s="75"/>
      <c r="J350" s="75"/>
      <c r="K350" s="76"/>
      <c r="L350" s="75"/>
      <c r="M350" s="75"/>
    </row>
    <row r="351" spans="9:13" x14ac:dyDescent="0.2">
      <c r="I351" s="75"/>
      <c r="J351" s="75"/>
      <c r="K351" s="76"/>
      <c r="L351" s="75"/>
      <c r="M351" s="75"/>
    </row>
    <row r="352" spans="9:13" x14ac:dyDescent="0.2">
      <c r="I352" s="75"/>
      <c r="J352" s="75"/>
      <c r="K352" s="76"/>
      <c r="L352" s="75"/>
      <c r="M352" s="75"/>
    </row>
    <row r="353" spans="9:13" x14ac:dyDescent="0.2">
      <c r="I353" s="75"/>
      <c r="J353" s="75"/>
      <c r="K353" s="76"/>
      <c r="L353" s="75"/>
      <c r="M353" s="75"/>
    </row>
    <row r="354" spans="9:13" x14ac:dyDescent="0.2">
      <c r="I354" s="75"/>
      <c r="J354" s="75"/>
      <c r="K354" s="76"/>
      <c r="L354" s="75"/>
      <c r="M354" s="75"/>
    </row>
    <row r="355" spans="9:13" x14ac:dyDescent="0.2">
      <c r="I355" s="75"/>
      <c r="J355" s="75"/>
      <c r="K355" s="76"/>
      <c r="L355" s="75"/>
      <c r="M355" s="75"/>
    </row>
    <row r="356" spans="9:13" x14ac:dyDescent="0.2">
      <c r="I356" s="75"/>
      <c r="J356" s="75"/>
      <c r="K356" s="76"/>
      <c r="L356" s="75"/>
      <c r="M356" s="75"/>
    </row>
    <row r="357" spans="9:13" x14ac:dyDescent="0.2">
      <c r="I357" s="75"/>
      <c r="J357" s="75"/>
      <c r="K357" s="76"/>
      <c r="L357" s="75"/>
      <c r="M357" s="75"/>
    </row>
    <row r="358" spans="9:13" x14ac:dyDescent="0.2">
      <c r="I358" s="75"/>
      <c r="J358" s="75"/>
      <c r="K358" s="76"/>
      <c r="L358" s="75"/>
      <c r="M358" s="75"/>
    </row>
    <row r="359" spans="9:13" x14ac:dyDescent="0.2">
      <c r="I359" s="75"/>
      <c r="J359" s="75"/>
      <c r="K359" s="76"/>
      <c r="L359" s="75"/>
      <c r="M359" s="75"/>
    </row>
    <row r="360" spans="9:13" x14ac:dyDescent="0.2">
      <c r="I360" s="75"/>
      <c r="J360" s="75"/>
      <c r="K360" s="76"/>
      <c r="L360" s="75"/>
      <c r="M360" s="75"/>
    </row>
    <row r="361" spans="9:13" x14ac:dyDescent="0.2">
      <c r="I361" s="75"/>
      <c r="J361" s="75"/>
      <c r="K361" s="76"/>
      <c r="L361" s="75"/>
      <c r="M361" s="75"/>
    </row>
    <row r="362" spans="9:13" x14ac:dyDescent="0.2">
      <c r="I362" s="75"/>
      <c r="J362" s="75"/>
      <c r="K362" s="76"/>
      <c r="L362" s="75"/>
      <c r="M362" s="75"/>
    </row>
    <row r="363" spans="9:13" x14ac:dyDescent="0.2">
      <c r="I363" s="75"/>
      <c r="J363" s="75"/>
      <c r="K363" s="76"/>
      <c r="L363" s="75"/>
      <c r="M363" s="75"/>
    </row>
    <row r="364" spans="9:13" x14ac:dyDescent="0.2">
      <c r="I364" s="75"/>
      <c r="J364" s="75"/>
      <c r="K364" s="76"/>
      <c r="L364" s="75"/>
      <c r="M364" s="75"/>
    </row>
    <row r="365" spans="9:13" x14ac:dyDescent="0.2">
      <c r="I365" s="75"/>
      <c r="J365" s="75"/>
      <c r="K365" s="76"/>
      <c r="L365" s="75"/>
      <c r="M365" s="75"/>
    </row>
    <row r="366" spans="9:13" x14ac:dyDescent="0.2">
      <c r="I366" s="75"/>
      <c r="J366" s="75"/>
      <c r="K366" s="76"/>
      <c r="L366" s="75"/>
      <c r="M366" s="75"/>
    </row>
    <row r="367" spans="9:13" x14ac:dyDescent="0.2">
      <c r="I367" s="75"/>
      <c r="J367" s="75"/>
      <c r="K367" s="76"/>
      <c r="L367" s="75"/>
      <c r="M367" s="75"/>
    </row>
    <row r="368" spans="9:13" x14ac:dyDescent="0.2">
      <c r="I368" s="75"/>
      <c r="J368" s="75"/>
      <c r="K368" s="76"/>
      <c r="L368" s="75"/>
      <c r="M368" s="75"/>
    </row>
    <row r="369" spans="9:13" x14ac:dyDescent="0.2">
      <c r="I369" s="75"/>
      <c r="J369" s="75"/>
      <c r="K369" s="76"/>
      <c r="L369" s="75"/>
      <c r="M369" s="75"/>
    </row>
    <row r="370" spans="9:13" x14ac:dyDescent="0.2">
      <c r="I370" s="75"/>
      <c r="J370" s="75"/>
      <c r="K370" s="76"/>
      <c r="L370" s="75"/>
      <c r="M370" s="75"/>
    </row>
    <row r="371" spans="9:13" x14ac:dyDescent="0.2">
      <c r="I371" s="75"/>
      <c r="J371" s="75"/>
      <c r="K371" s="76"/>
      <c r="L371" s="75"/>
      <c r="M371" s="75"/>
    </row>
    <row r="372" spans="9:13" x14ac:dyDescent="0.2">
      <c r="I372" s="75"/>
      <c r="J372" s="75"/>
      <c r="K372" s="76"/>
      <c r="L372" s="75"/>
      <c r="M372" s="75"/>
    </row>
    <row r="373" spans="9:13" x14ac:dyDescent="0.2">
      <c r="I373" s="75"/>
      <c r="J373" s="75"/>
      <c r="K373" s="76"/>
      <c r="L373" s="75"/>
      <c r="M373" s="75"/>
    </row>
    <row r="374" spans="9:13" x14ac:dyDescent="0.2">
      <c r="I374" s="75"/>
      <c r="J374" s="75"/>
      <c r="K374" s="76"/>
      <c r="L374" s="75"/>
      <c r="M374" s="75"/>
    </row>
    <row r="375" spans="9:13" x14ac:dyDescent="0.2">
      <c r="I375" s="75"/>
      <c r="J375" s="75"/>
      <c r="K375" s="76"/>
      <c r="L375" s="75"/>
      <c r="M375" s="75"/>
    </row>
    <row r="376" spans="9:13" x14ac:dyDescent="0.2">
      <c r="I376" s="75"/>
      <c r="J376" s="75"/>
      <c r="K376" s="76"/>
      <c r="L376" s="75"/>
      <c r="M376" s="75"/>
    </row>
    <row r="377" spans="9:13" x14ac:dyDescent="0.2">
      <c r="I377" s="75"/>
      <c r="J377" s="75"/>
      <c r="K377" s="76"/>
      <c r="L377" s="75"/>
      <c r="M377" s="75"/>
    </row>
    <row r="378" spans="9:13" x14ac:dyDescent="0.2">
      <c r="I378" s="75"/>
      <c r="J378" s="75"/>
      <c r="K378" s="76"/>
      <c r="L378" s="75"/>
      <c r="M378" s="75"/>
    </row>
    <row r="379" spans="9:13" x14ac:dyDescent="0.2">
      <c r="I379" s="75"/>
      <c r="J379" s="75"/>
      <c r="K379" s="76"/>
      <c r="L379" s="75"/>
      <c r="M379" s="75"/>
    </row>
    <row r="380" spans="9:13" x14ac:dyDescent="0.2">
      <c r="I380" s="75"/>
      <c r="J380" s="75"/>
      <c r="K380" s="76"/>
      <c r="L380" s="75"/>
      <c r="M380" s="75"/>
    </row>
    <row r="381" spans="9:13" x14ac:dyDescent="0.2">
      <c r="I381" s="75"/>
      <c r="J381" s="75"/>
      <c r="K381" s="76"/>
      <c r="L381" s="75"/>
      <c r="M381" s="75"/>
    </row>
    <row r="382" spans="9:13" x14ac:dyDescent="0.2">
      <c r="I382" s="75"/>
      <c r="J382" s="75"/>
      <c r="K382" s="76"/>
      <c r="L382" s="75"/>
      <c r="M382" s="75"/>
    </row>
    <row r="383" spans="9:13" x14ac:dyDescent="0.2">
      <c r="I383" s="75"/>
      <c r="J383" s="75"/>
      <c r="K383" s="76"/>
      <c r="L383" s="75"/>
      <c r="M383" s="75"/>
    </row>
    <row r="384" spans="9:13" x14ac:dyDescent="0.2">
      <c r="I384" s="75"/>
      <c r="J384" s="75"/>
      <c r="K384" s="76"/>
      <c r="L384" s="75"/>
      <c r="M384" s="75"/>
    </row>
    <row r="385" spans="9:13" x14ac:dyDescent="0.2">
      <c r="I385" s="75"/>
      <c r="J385" s="75"/>
      <c r="K385" s="76"/>
      <c r="L385" s="75"/>
      <c r="M385" s="75"/>
    </row>
    <row r="386" spans="9:13" x14ac:dyDescent="0.2">
      <c r="I386" s="75"/>
      <c r="J386" s="75"/>
      <c r="K386" s="76"/>
      <c r="L386" s="75"/>
      <c r="M386" s="75"/>
    </row>
    <row r="387" spans="9:13" x14ac:dyDescent="0.2">
      <c r="I387" s="75"/>
      <c r="J387" s="75"/>
      <c r="K387" s="76"/>
      <c r="L387" s="75"/>
      <c r="M387" s="75"/>
    </row>
    <row r="388" spans="9:13" x14ac:dyDescent="0.2">
      <c r="I388" s="75"/>
      <c r="J388" s="75"/>
      <c r="K388" s="76"/>
      <c r="L388" s="75"/>
      <c r="M388" s="75"/>
    </row>
    <row r="389" spans="9:13" x14ac:dyDescent="0.2">
      <c r="I389" s="75"/>
      <c r="J389" s="75"/>
      <c r="K389" s="76"/>
      <c r="L389" s="75"/>
      <c r="M389" s="75"/>
    </row>
    <row r="390" spans="9:13" x14ac:dyDescent="0.2">
      <c r="I390" s="75"/>
      <c r="J390" s="75"/>
      <c r="K390" s="76"/>
      <c r="L390" s="75"/>
      <c r="M390" s="75"/>
    </row>
    <row r="391" spans="9:13" x14ac:dyDescent="0.2">
      <c r="I391" s="75"/>
      <c r="J391" s="75"/>
      <c r="K391" s="76"/>
      <c r="L391" s="75"/>
      <c r="M391" s="75"/>
    </row>
    <row r="392" spans="9:13" x14ac:dyDescent="0.2">
      <c r="I392" s="75"/>
      <c r="J392" s="75"/>
      <c r="K392" s="76"/>
      <c r="L392" s="75"/>
      <c r="M392" s="75"/>
    </row>
    <row r="393" spans="9:13" x14ac:dyDescent="0.2">
      <c r="I393" s="75"/>
      <c r="J393" s="75"/>
      <c r="K393" s="76"/>
      <c r="L393" s="75"/>
      <c r="M393" s="75"/>
    </row>
    <row r="394" spans="9:13" x14ac:dyDescent="0.2">
      <c r="I394" s="75"/>
      <c r="J394" s="75"/>
      <c r="K394" s="76"/>
      <c r="L394" s="75"/>
      <c r="M394" s="75"/>
    </row>
    <row r="395" spans="9:13" x14ac:dyDescent="0.2">
      <c r="I395" s="75"/>
      <c r="J395" s="75"/>
      <c r="K395" s="76"/>
      <c r="L395" s="75"/>
      <c r="M395" s="75"/>
    </row>
    <row r="396" spans="9:13" x14ac:dyDescent="0.2">
      <c r="I396" s="75"/>
      <c r="J396" s="75"/>
      <c r="K396" s="76"/>
      <c r="L396" s="75"/>
      <c r="M396" s="75"/>
    </row>
    <row r="397" spans="9:13" x14ac:dyDescent="0.2">
      <c r="I397" s="75"/>
      <c r="J397" s="75"/>
      <c r="K397" s="76"/>
      <c r="L397" s="75"/>
      <c r="M397" s="75"/>
    </row>
    <row r="398" spans="9:13" x14ac:dyDescent="0.2">
      <c r="I398" s="75"/>
      <c r="J398" s="75"/>
      <c r="K398" s="76"/>
      <c r="L398" s="75"/>
      <c r="M398" s="75"/>
    </row>
    <row r="399" spans="9:13" x14ac:dyDescent="0.2">
      <c r="I399" s="75"/>
      <c r="J399" s="75"/>
      <c r="K399" s="76"/>
      <c r="L399" s="75"/>
      <c r="M399" s="75"/>
    </row>
    <row r="400" spans="9:13" x14ac:dyDescent="0.2">
      <c r="I400" s="75"/>
      <c r="J400" s="75"/>
      <c r="K400" s="76"/>
      <c r="L400" s="75"/>
      <c r="M400" s="75"/>
    </row>
    <row r="401" spans="9:13" x14ac:dyDescent="0.2">
      <c r="I401" s="75"/>
      <c r="J401" s="75"/>
      <c r="K401" s="76"/>
      <c r="L401" s="75"/>
      <c r="M401" s="75"/>
    </row>
    <row r="402" spans="9:13" x14ac:dyDescent="0.2">
      <c r="I402" s="75"/>
      <c r="J402" s="75"/>
      <c r="K402" s="76"/>
      <c r="L402" s="75"/>
      <c r="M402" s="75"/>
    </row>
    <row r="403" spans="9:13" x14ac:dyDescent="0.2">
      <c r="I403" s="75"/>
      <c r="J403" s="75"/>
      <c r="K403" s="76"/>
      <c r="L403" s="75"/>
      <c r="M403" s="75"/>
    </row>
    <row r="404" spans="9:13" x14ac:dyDescent="0.2">
      <c r="I404" s="75"/>
      <c r="J404" s="75"/>
      <c r="K404" s="76"/>
      <c r="L404" s="75"/>
      <c r="M404" s="75"/>
    </row>
    <row r="405" spans="9:13" x14ac:dyDescent="0.2">
      <c r="I405" s="75"/>
      <c r="J405" s="75"/>
      <c r="K405" s="76"/>
      <c r="L405" s="75"/>
      <c r="M405" s="75"/>
    </row>
    <row r="406" spans="9:13" x14ac:dyDescent="0.2">
      <c r="I406" s="75"/>
      <c r="J406" s="75"/>
      <c r="K406" s="76"/>
      <c r="L406" s="75"/>
      <c r="M406" s="75"/>
    </row>
    <row r="407" spans="9:13" x14ac:dyDescent="0.2">
      <c r="I407" s="75"/>
      <c r="J407" s="75"/>
      <c r="K407" s="76"/>
      <c r="L407" s="75"/>
      <c r="M407" s="75"/>
    </row>
    <row r="408" spans="9:13" x14ac:dyDescent="0.2">
      <c r="I408" s="75"/>
      <c r="J408" s="75"/>
      <c r="K408" s="76"/>
      <c r="L408" s="75"/>
      <c r="M408" s="75"/>
    </row>
    <row r="409" spans="9:13" x14ac:dyDescent="0.2">
      <c r="I409" s="75"/>
      <c r="J409" s="75"/>
      <c r="K409" s="76"/>
      <c r="L409" s="75"/>
      <c r="M409" s="75"/>
    </row>
    <row r="410" spans="9:13" x14ac:dyDescent="0.2">
      <c r="I410" s="75"/>
      <c r="J410" s="75"/>
      <c r="K410" s="76"/>
      <c r="L410" s="75"/>
      <c r="M410" s="75"/>
    </row>
    <row r="411" spans="9:13" x14ac:dyDescent="0.2">
      <c r="I411" s="75"/>
      <c r="J411" s="75"/>
      <c r="K411" s="76"/>
      <c r="L411" s="75"/>
      <c r="M411" s="75"/>
    </row>
    <row r="412" spans="9:13" x14ac:dyDescent="0.2">
      <c r="I412" s="75"/>
      <c r="J412" s="75"/>
      <c r="K412" s="76"/>
      <c r="L412" s="75"/>
      <c r="M412" s="75"/>
    </row>
    <row r="413" spans="9:13" x14ac:dyDescent="0.2">
      <c r="I413" s="75"/>
      <c r="J413" s="75"/>
      <c r="K413" s="76"/>
      <c r="L413" s="75"/>
      <c r="M413" s="75"/>
    </row>
    <row r="414" spans="9:13" x14ac:dyDescent="0.2">
      <c r="I414" s="75"/>
      <c r="J414" s="75"/>
      <c r="K414" s="76"/>
      <c r="L414" s="75"/>
      <c r="M414" s="75"/>
    </row>
    <row r="415" spans="9:13" x14ac:dyDescent="0.2">
      <c r="I415" s="75"/>
      <c r="J415" s="75"/>
      <c r="K415" s="76"/>
      <c r="L415" s="75"/>
      <c r="M415" s="75"/>
    </row>
    <row r="416" spans="9:13" x14ac:dyDescent="0.2">
      <c r="I416" s="75"/>
      <c r="J416" s="75"/>
      <c r="K416" s="76"/>
      <c r="L416" s="75"/>
      <c r="M416" s="75"/>
    </row>
    <row r="417" spans="9:13" x14ac:dyDescent="0.2">
      <c r="I417" s="75"/>
      <c r="J417" s="75"/>
      <c r="K417" s="76"/>
      <c r="L417" s="75"/>
      <c r="M417" s="75"/>
    </row>
    <row r="418" spans="9:13" x14ac:dyDescent="0.2">
      <c r="I418" s="75"/>
      <c r="J418" s="75"/>
      <c r="K418" s="76"/>
      <c r="L418" s="75"/>
      <c r="M418" s="75"/>
    </row>
    <row r="419" spans="9:13" x14ac:dyDescent="0.2">
      <c r="I419" s="75"/>
      <c r="J419" s="75"/>
      <c r="K419" s="76"/>
      <c r="L419" s="75"/>
      <c r="M419" s="75"/>
    </row>
    <row r="420" spans="9:13" x14ac:dyDescent="0.2">
      <c r="I420" s="75"/>
      <c r="J420" s="75"/>
      <c r="K420" s="76"/>
      <c r="L420" s="75"/>
      <c r="M420" s="75"/>
    </row>
    <row r="421" spans="9:13" x14ac:dyDescent="0.2">
      <c r="I421" s="75"/>
      <c r="J421" s="75"/>
      <c r="K421" s="76"/>
      <c r="L421" s="75"/>
      <c r="M421" s="75"/>
    </row>
    <row r="422" spans="9:13" x14ac:dyDescent="0.2">
      <c r="I422" s="75"/>
      <c r="J422" s="75"/>
      <c r="K422" s="76"/>
      <c r="L422" s="75"/>
      <c r="M422" s="75"/>
    </row>
    <row r="423" spans="9:13" x14ac:dyDescent="0.2">
      <c r="I423" s="75"/>
      <c r="J423" s="75"/>
      <c r="K423" s="76"/>
      <c r="L423" s="75"/>
      <c r="M423" s="75"/>
    </row>
    <row r="424" spans="9:13" x14ac:dyDescent="0.2">
      <c r="I424" s="75"/>
      <c r="J424" s="75"/>
      <c r="K424" s="76"/>
      <c r="L424" s="75"/>
      <c r="M424" s="75"/>
    </row>
    <row r="425" spans="9:13" x14ac:dyDescent="0.2">
      <c r="I425" s="75"/>
      <c r="J425" s="75"/>
      <c r="K425" s="76"/>
      <c r="L425" s="75"/>
      <c r="M425" s="75"/>
    </row>
    <row r="426" spans="9:13" x14ac:dyDescent="0.2">
      <c r="I426" s="75"/>
      <c r="J426" s="75"/>
      <c r="K426" s="76"/>
      <c r="L426" s="75"/>
      <c r="M426" s="75"/>
    </row>
    <row r="427" spans="9:13" x14ac:dyDescent="0.2">
      <c r="I427" s="75"/>
      <c r="J427" s="75"/>
      <c r="K427" s="76"/>
      <c r="L427" s="75"/>
      <c r="M427" s="75"/>
    </row>
    <row r="428" spans="9:13" x14ac:dyDescent="0.2">
      <c r="I428" s="75"/>
      <c r="J428" s="75"/>
      <c r="K428" s="76"/>
      <c r="L428" s="75"/>
      <c r="M428" s="75"/>
    </row>
    <row r="429" spans="9:13" x14ac:dyDescent="0.2">
      <c r="I429" s="75"/>
      <c r="J429" s="75"/>
      <c r="K429" s="76"/>
      <c r="L429" s="75"/>
      <c r="M429" s="75"/>
    </row>
    <row r="430" spans="9:13" x14ac:dyDescent="0.2">
      <c r="I430" s="75"/>
      <c r="J430" s="75"/>
      <c r="K430" s="76"/>
      <c r="L430" s="75"/>
      <c r="M430" s="75"/>
    </row>
    <row r="431" spans="9:13" x14ac:dyDescent="0.2">
      <c r="I431" s="75"/>
      <c r="J431" s="75"/>
      <c r="K431" s="76"/>
      <c r="L431" s="75"/>
      <c r="M431" s="75"/>
    </row>
    <row r="432" spans="9:13" x14ac:dyDescent="0.2">
      <c r="I432" s="75"/>
      <c r="J432" s="75"/>
      <c r="K432" s="76"/>
      <c r="L432" s="75"/>
      <c r="M432" s="75"/>
    </row>
    <row r="433" spans="9:13" x14ac:dyDescent="0.2">
      <c r="I433" s="75"/>
      <c r="J433" s="75"/>
      <c r="K433" s="76"/>
      <c r="L433" s="75"/>
      <c r="M433" s="75"/>
    </row>
    <row r="434" spans="9:13" x14ac:dyDescent="0.2">
      <c r="I434" s="75"/>
      <c r="J434" s="75"/>
      <c r="K434" s="76"/>
      <c r="L434" s="75"/>
      <c r="M434" s="75"/>
    </row>
    <row r="435" spans="9:13" x14ac:dyDescent="0.2">
      <c r="I435" s="75"/>
      <c r="J435" s="75"/>
      <c r="K435" s="76"/>
      <c r="L435" s="75"/>
      <c r="M435" s="75"/>
    </row>
    <row r="436" spans="9:13" x14ac:dyDescent="0.2">
      <c r="I436" s="75"/>
      <c r="J436" s="75"/>
      <c r="K436" s="76"/>
      <c r="L436" s="75"/>
      <c r="M436" s="75"/>
    </row>
    <row r="437" spans="9:13" x14ac:dyDescent="0.2">
      <c r="I437" s="75"/>
      <c r="J437" s="75"/>
      <c r="K437" s="76"/>
      <c r="L437" s="75"/>
      <c r="M437" s="75"/>
    </row>
    <row r="438" spans="9:13" x14ac:dyDescent="0.2">
      <c r="I438" s="75"/>
      <c r="J438" s="75"/>
      <c r="K438" s="76"/>
      <c r="L438" s="75"/>
      <c r="M438" s="75"/>
    </row>
    <row r="439" spans="9:13" x14ac:dyDescent="0.2">
      <c r="I439" s="75"/>
      <c r="J439" s="75"/>
      <c r="K439" s="76"/>
      <c r="L439" s="75"/>
      <c r="M439" s="75"/>
    </row>
    <row r="440" spans="9:13" x14ac:dyDescent="0.2">
      <c r="I440" s="75"/>
      <c r="J440" s="75"/>
      <c r="K440" s="76"/>
      <c r="L440" s="75"/>
      <c r="M440" s="75"/>
    </row>
    <row r="441" spans="9:13" x14ac:dyDescent="0.2">
      <c r="I441" s="75"/>
      <c r="J441" s="75"/>
      <c r="K441" s="76"/>
      <c r="L441" s="75"/>
      <c r="M441" s="75"/>
    </row>
    <row r="442" spans="9:13" x14ac:dyDescent="0.2">
      <c r="I442" s="75"/>
      <c r="J442" s="75"/>
      <c r="K442" s="76"/>
      <c r="L442" s="75"/>
      <c r="M442" s="75"/>
    </row>
    <row r="443" spans="9:13" x14ac:dyDescent="0.2">
      <c r="I443" s="75"/>
      <c r="J443" s="75"/>
      <c r="K443" s="76"/>
      <c r="L443" s="75"/>
      <c r="M443" s="75"/>
    </row>
    <row r="444" spans="9:13" x14ac:dyDescent="0.2">
      <c r="I444" s="75"/>
      <c r="J444" s="75"/>
      <c r="K444" s="76"/>
      <c r="L444" s="75"/>
      <c r="M444" s="75"/>
    </row>
  </sheetData>
  <sheetProtection sheet="1" objects="1" scenarios="1"/>
  <mergeCells count="1">
    <mergeCell ref="A1:I1"/>
  </mergeCells>
  <phoneticPr fontId="1" type="noConversion"/>
  <pageMargins left="0.75" right="0.75" top="1" bottom="1" header="0.5" footer="0.5"/>
  <pageSetup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tabSelected="1" workbookViewId="0"/>
  </sheetViews>
  <sheetFormatPr defaultRowHeight="12.75" x14ac:dyDescent="0.2"/>
  <cols>
    <col min="1" max="1" width="10" style="70" customWidth="1"/>
    <col min="2" max="7" width="20.28515625" style="70" customWidth="1"/>
    <col min="8" max="16384" width="9.140625" style="70"/>
  </cols>
  <sheetData>
    <row r="1" spans="1:7" ht="18" x14ac:dyDescent="0.25">
      <c r="A1" s="69" t="s">
        <v>74</v>
      </c>
    </row>
    <row r="3" spans="1:7" s="10" customFormat="1" x14ac:dyDescent="0.2">
      <c r="A3" s="8"/>
      <c r="B3" s="9">
        <v>2020</v>
      </c>
      <c r="C3" s="9">
        <v>2019</v>
      </c>
      <c r="D3" s="9">
        <v>2018</v>
      </c>
      <c r="E3" s="9">
        <v>2017</v>
      </c>
      <c r="F3" s="9">
        <v>2016</v>
      </c>
      <c r="G3" s="9">
        <v>2015</v>
      </c>
    </row>
    <row r="4" spans="1:7" s="10" customFormat="1" x14ac:dyDescent="0.2">
      <c r="A4" s="8" t="s">
        <v>14</v>
      </c>
      <c r="B4" s="11">
        <v>1081</v>
      </c>
      <c r="C4" s="11">
        <v>1049</v>
      </c>
      <c r="D4" s="11">
        <v>1025</v>
      </c>
      <c r="E4" s="11">
        <v>995</v>
      </c>
      <c r="F4" s="11">
        <v>978</v>
      </c>
      <c r="G4" s="11">
        <v>951</v>
      </c>
    </row>
    <row r="5" spans="1:7" s="10" customFormat="1" x14ac:dyDescent="0.2">
      <c r="A5" s="12">
        <v>0.66666666666666674</v>
      </c>
      <c r="B5" s="71" t="s">
        <v>109</v>
      </c>
      <c r="C5" s="71" t="s">
        <v>106</v>
      </c>
      <c r="D5" s="71" t="s">
        <v>103</v>
      </c>
      <c r="E5" s="71" t="s">
        <v>100</v>
      </c>
      <c r="F5" s="71" t="s">
        <v>99</v>
      </c>
      <c r="G5" s="71" t="s">
        <v>88</v>
      </c>
    </row>
    <row r="6" spans="1:7" s="10" customFormat="1" ht="25.5" x14ac:dyDescent="0.2">
      <c r="A6" s="8"/>
      <c r="B6" s="13" t="s">
        <v>110</v>
      </c>
      <c r="C6" s="13" t="s">
        <v>107</v>
      </c>
      <c r="D6" s="13" t="s">
        <v>104</v>
      </c>
      <c r="E6" s="13" t="s">
        <v>101</v>
      </c>
      <c r="F6" s="13" t="s">
        <v>98</v>
      </c>
      <c r="G6" s="13" t="s">
        <v>89</v>
      </c>
    </row>
    <row r="7" spans="1:7" s="10" customFormat="1" x14ac:dyDescent="0.2">
      <c r="A7" s="15">
        <v>0.9</v>
      </c>
      <c r="B7" s="8" t="s">
        <v>111</v>
      </c>
      <c r="C7" s="8" t="s">
        <v>108</v>
      </c>
      <c r="D7" s="8" t="s">
        <v>105</v>
      </c>
      <c r="E7" s="8" t="s">
        <v>102</v>
      </c>
      <c r="F7" s="8" t="s">
        <v>97</v>
      </c>
      <c r="G7" s="8" t="s">
        <v>90</v>
      </c>
    </row>
    <row r="8" spans="1:7" s="10" customFormat="1" x14ac:dyDescent="0.2"/>
    <row r="9" spans="1:7" s="10" customFormat="1" x14ac:dyDescent="0.2"/>
    <row r="10" spans="1:7" s="10" customFormat="1" x14ac:dyDescent="0.2">
      <c r="A10" s="8"/>
      <c r="B10" s="9">
        <v>2014</v>
      </c>
      <c r="C10" s="9">
        <v>2013</v>
      </c>
      <c r="D10" s="9">
        <v>2012</v>
      </c>
      <c r="E10" s="9">
        <v>2011</v>
      </c>
      <c r="F10" s="9">
        <v>2010</v>
      </c>
      <c r="G10" s="9">
        <v>2009</v>
      </c>
    </row>
    <row r="11" spans="1:7" s="10" customFormat="1" x14ac:dyDescent="0.2">
      <c r="A11" s="8" t="s">
        <v>14</v>
      </c>
      <c r="B11" s="11">
        <v>932</v>
      </c>
      <c r="C11" s="11">
        <v>917</v>
      </c>
      <c r="D11" s="11">
        <v>888</v>
      </c>
      <c r="E11" s="11">
        <v>858</v>
      </c>
      <c r="F11" s="11">
        <v>845</v>
      </c>
      <c r="G11" s="11">
        <v>836</v>
      </c>
    </row>
    <row r="12" spans="1:7" s="10" customFormat="1" x14ac:dyDescent="0.2">
      <c r="A12" s="12">
        <v>0.66666666666666674</v>
      </c>
      <c r="B12" s="8" t="s">
        <v>85</v>
      </c>
      <c r="C12" s="8" t="s">
        <v>81</v>
      </c>
      <c r="D12" s="8" t="s">
        <v>78</v>
      </c>
      <c r="E12" s="8" t="s">
        <v>15</v>
      </c>
      <c r="F12" s="8" t="s">
        <v>16</v>
      </c>
      <c r="G12" s="8" t="s">
        <v>17</v>
      </c>
    </row>
    <row r="13" spans="1:7" s="10" customFormat="1" ht="25.5" x14ac:dyDescent="0.2">
      <c r="A13" s="8"/>
      <c r="B13" s="13" t="s">
        <v>86</v>
      </c>
      <c r="C13" s="13" t="s">
        <v>82</v>
      </c>
      <c r="D13" s="13" t="s">
        <v>79</v>
      </c>
      <c r="E13" s="13" t="s">
        <v>33</v>
      </c>
      <c r="F13" s="13" t="s">
        <v>34</v>
      </c>
      <c r="G13" s="13" t="s">
        <v>35</v>
      </c>
    </row>
    <row r="14" spans="1:7" s="10" customFormat="1" x14ac:dyDescent="0.2">
      <c r="A14" s="15">
        <v>0.9</v>
      </c>
      <c r="B14" s="8" t="s">
        <v>87</v>
      </c>
      <c r="C14" s="8" t="s">
        <v>83</v>
      </c>
      <c r="D14" s="8" t="s">
        <v>80</v>
      </c>
      <c r="E14" s="8" t="s">
        <v>21</v>
      </c>
      <c r="F14" s="8" t="s">
        <v>22</v>
      </c>
      <c r="G14" s="8" t="s">
        <v>23</v>
      </c>
    </row>
    <row r="15" spans="1:7" s="10" customFormat="1" x14ac:dyDescent="0.2"/>
    <row r="16" spans="1:7" s="10" customFormat="1" x14ac:dyDescent="0.2"/>
    <row r="17" spans="1:7" s="10" customFormat="1" x14ac:dyDescent="0.2">
      <c r="A17" s="8"/>
      <c r="B17" s="9">
        <v>2008</v>
      </c>
      <c r="C17" s="9">
        <v>2007</v>
      </c>
      <c r="D17" s="9">
        <v>2006</v>
      </c>
      <c r="E17" s="9">
        <v>2005</v>
      </c>
      <c r="F17" s="9">
        <v>2004</v>
      </c>
      <c r="G17" s="9">
        <v>2003</v>
      </c>
    </row>
    <row r="18" spans="1:7" s="10" customFormat="1" x14ac:dyDescent="0.2">
      <c r="A18" s="8" t="s">
        <v>14</v>
      </c>
      <c r="B18" s="11">
        <v>807</v>
      </c>
      <c r="C18" s="11">
        <v>779</v>
      </c>
      <c r="D18" s="11">
        <v>745</v>
      </c>
      <c r="E18" s="11">
        <v>716</v>
      </c>
      <c r="F18" s="11">
        <v>690</v>
      </c>
      <c r="G18" s="11">
        <v>675</v>
      </c>
    </row>
    <row r="19" spans="1:7" s="10" customFormat="1" x14ac:dyDescent="0.2">
      <c r="A19" s="12">
        <v>0.66666666666666674</v>
      </c>
      <c r="B19" s="8" t="s">
        <v>18</v>
      </c>
      <c r="C19" s="8" t="s">
        <v>19</v>
      </c>
      <c r="D19" s="8" t="s">
        <v>20</v>
      </c>
      <c r="E19" s="8" t="s">
        <v>27</v>
      </c>
      <c r="F19" s="8" t="s">
        <v>28</v>
      </c>
      <c r="G19" s="8" t="s">
        <v>29</v>
      </c>
    </row>
    <row r="20" spans="1:7" s="10" customFormat="1" ht="25.5" x14ac:dyDescent="0.2">
      <c r="A20" s="8"/>
      <c r="B20" s="14" t="s">
        <v>36</v>
      </c>
      <c r="C20" s="14" t="s">
        <v>37</v>
      </c>
      <c r="D20" s="14" t="s">
        <v>38</v>
      </c>
      <c r="E20" s="14" t="s">
        <v>39</v>
      </c>
      <c r="F20" s="14" t="s">
        <v>40</v>
      </c>
      <c r="G20" s="14" t="s">
        <v>41</v>
      </c>
    </row>
    <row r="21" spans="1:7" s="10" customFormat="1" x14ac:dyDescent="0.2">
      <c r="A21" s="15">
        <v>0.9</v>
      </c>
      <c r="B21" s="8" t="s">
        <v>24</v>
      </c>
      <c r="C21" s="8" t="s">
        <v>25</v>
      </c>
      <c r="D21" s="8" t="s">
        <v>26</v>
      </c>
      <c r="E21" s="8" t="s">
        <v>30</v>
      </c>
      <c r="F21" s="8" t="s">
        <v>31</v>
      </c>
      <c r="G21" s="8" t="s">
        <v>32</v>
      </c>
    </row>
  </sheetData>
  <sheetProtection sheet="1" objects="1" scenarios="1"/>
  <phoneticPr fontId="1" type="noConversion"/>
  <pageMargins left="0.75" right="0.75" top="1" bottom="1" header="0.5" footer="0.5"/>
  <pageSetup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Weekly Pay</vt:lpstr>
      <vt:lpstr>Bi-Weekly Pay</vt:lpstr>
      <vt:lpstr>PA Rates</vt:lpstr>
      <vt:lpstr>'Bi-Weekly Pay'!Print_Area</vt:lpstr>
      <vt:lpstr>'PA Rates'!Print_Area</vt:lpstr>
      <vt:lpstr>'Weekly Pay'!Print_Area</vt:lpstr>
    </vt:vector>
  </TitlesOfParts>
  <Company>The Hartford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em72407</dc:creator>
  <cp:lastModifiedBy>Elizabeth McCadden</cp:lastModifiedBy>
  <cp:lastPrinted>2019-01-15T16:10:34Z</cp:lastPrinted>
  <dcterms:created xsi:type="dcterms:W3CDTF">2011-03-15T21:43:08Z</dcterms:created>
  <dcterms:modified xsi:type="dcterms:W3CDTF">2020-01-09T15:17:56Z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Local">
    <vt:bool>true</vt:bool>
  </property>
</Properties>
</file>